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heckCompatibility="1"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xr:revisionPtr revIDLastSave="0" documentId="13_ncr:1_{2805669A-D484-43FE-A0C3-63FD057A05A8}" xr6:coauthVersionLast="47" xr6:coauthVersionMax="47" xr10:uidLastSave="{00000000-0000-0000-0000-000000000000}"/>
  <bookViews>
    <workbookView xWindow="-103" yWindow="-103" windowWidth="16663" windowHeight="8863" firstSheet="1" activeTab="2" xr2:uid="{00000000-000D-0000-FFFF-FFFF00000000}"/>
  </bookViews>
  <sheets>
    <sheet name="detail 301 blount" sheetId="1" r:id="rId1"/>
    <sheet name="rent adjustment" sheetId="3" r:id="rId2"/>
    <sheet name="301 blount fine point" sheetId="2" r:id="rId3"/>
  </sheets>
  <definedNames>
    <definedName name="_xlnm.Print_Area" localSheetId="2">'301 blount fine point'!$B$1:$E$45</definedName>
    <definedName name="_xlnm.Print_Area" localSheetId="0">'detail 301 blount'!$A$1:$O$55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2" l="1"/>
  <c r="F52" i="2"/>
  <c r="G52" i="2"/>
  <c r="H52" i="2"/>
  <c r="I52" i="2"/>
  <c r="J52" i="2"/>
  <c r="K52" i="2"/>
  <c r="L52" i="2"/>
  <c r="G51" i="2"/>
  <c r="H51" i="2" s="1"/>
  <c r="I51" i="2" s="1"/>
  <c r="J51" i="2" s="1"/>
  <c r="K51" i="2" s="1"/>
  <c r="L51" i="2" s="1"/>
  <c r="F51" i="2"/>
  <c r="E51" i="2"/>
  <c r="M50" i="2"/>
  <c r="F50" i="2"/>
  <c r="G50" i="2"/>
  <c r="H50" i="2"/>
  <c r="I50" i="2"/>
  <c r="J50" i="2"/>
  <c r="K50" i="2"/>
  <c r="L50" i="2"/>
  <c r="E50" i="2"/>
  <c r="B16" i="3"/>
  <c r="I16" i="3"/>
  <c r="J13" i="2"/>
  <c r="K13" i="2" s="1"/>
  <c r="L13" i="2" s="1"/>
  <c r="M13" i="2" s="1"/>
  <c r="N13" i="2" s="1"/>
  <c r="O13" i="2" s="1"/>
  <c r="P13" i="2" s="1"/>
  <c r="Q13" i="2" s="1"/>
  <c r="G11" i="2"/>
  <c r="G10" i="2"/>
  <c r="J12" i="2" l="1"/>
  <c r="K12" i="2" s="1"/>
  <c r="L12" i="2" s="1"/>
  <c r="M12" i="2" s="1"/>
  <c r="N12" i="2" s="1"/>
  <c r="O12" i="2" s="1"/>
  <c r="P12" i="2" s="1"/>
  <c r="Q12" i="2" s="1"/>
  <c r="B54" i="2"/>
  <c r="B53" i="2"/>
  <c r="K38" i="2"/>
  <c r="L38" i="2" s="1"/>
  <c r="I37" i="2"/>
  <c r="J37" i="2" s="1"/>
  <c r="K37" i="2" s="1"/>
  <c r="L37" i="2" s="1"/>
  <c r="I36" i="2"/>
  <c r="J36" i="2" s="1"/>
  <c r="K36" i="2" s="1"/>
  <c r="L36" i="2" s="1"/>
  <c r="I35" i="2"/>
  <c r="J35" i="2" s="1"/>
  <c r="K35" i="2" s="1"/>
  <c r="L35" i="2" s="1"/>
  <c r="I34" i="2"/>
  <c r="J34" i="2" s="1"/>
  <c r="K34" i="2" s="1"/>
  <c r="L34" i="2" s="1"/>
  <c r="I33" i="2"/>
  <c r="J33" i="2" s="1"/>
  <c r="K33" i="2" s="1"/>
  <c r="L33" i="2" s="1"/>
  <c r="I32" i="2"/>
  <c r="J32" i="2" s="1"/>
  <c r="K32" i="2" s="1"/>
  <c r="L32" i="2" s="1"/>
  <c r="I31" i="2"/>
  <c r="J31" i="2" s="1"/>
  <c r="K31" i="2" s="1"/>
  <c r="L31" i="2" s="1"/>
  <c r="I30" i="2"/>
  <c r="J30" i="2" s="1"/>
  <c r="K30" i="2" s="1"/>
  <c r="L30" i="2" s="1"/>
  <c r="I29" i="2"/>
  <c r="J29" i="2" s="1"/>
  <c r="K29" i="2" s="1"/>
  <c r="L29" i="2" s="1"/>
  <c r="I28" i="2"/>
  <c r="J28" i="2" s="1"/>
  <c r="K28" i="2" s="1"/>
  <c r="L28" i="2" s="1"/>
  <c r="I27" i="2"/>
  <c r="J27" i="2" s="1"/>
  <c r="K27" i="2" s="1"/>
  <c r="L27" i="2" s="1"/>
  <c r="O26" i="2"/>
  <c r="I26" i="2"/>
  <c r="J26" i="2" s="1"/>
  <c r="K26" i="2" s="1"/>
  <c r="L26" i="2" s="1"/>
  <c r="O25" i="2"/>
  <c r="I25" i="2"/>
  <c r="J25" i="2" s="1"/>
  <c r="K25" i="2" s="1"/>
  <c r="L25" i="2" s="1"/>
  <c r="O24" i="2"/>
  <c r="I24" i="2"/>
  <c r="J24" i="2" s="1"/>
  <c r="K24" i="2" s="1"/>
  <c r="L24" i="2" s="1"/>
  <c r="I23" i="2"/>
  <c r="J23" i="2" s="1"/>
  <c r="K23" i="2" s="1"/>
  <c r="L23" i="2" s="1"/>
  <c r="I22" i="2"/>
  <c r="J22" i="2" s="1"/>
  <c r="K22" i="2" s="1"/>
  <c r="L22" i="2" s="1"/>
  <c r="O21" i="2"/>
  <c r="I21" i="2"/>
  <c r="J21" i="2" s="1"/>
  <c r="K21" i="2" s="1"/>
  <c r="L21" i="2" s="1"/>
  <c r="M17" i="2"/>
  <c r="N17" i="2" s="1"/>
  <c r="O17" i="2" s="1"/>
  <c r="P17" i="2" s="1"/>
  <c r="Q17" i="2" s="1"/>
  <c r="H17" i="2"/>
  <c r="I17" i="2" s="1"/>
  <c r="O28" i="2" s="1"/>
  <c r="K15" i="2"/>
  <c r="L15" i="2" s="1"/>
  <c r="M15" i="2" s="1"/>
  <c r="N15" i="2" s="1"/>
  <c r="O15" i="2" s="1"/>
  <c r="P15" i="2" s="1"/>
  <c r="Q15" i="2" s="1"/>
  <c r="G15" i="2"/>
  <c r="H15" i="2" s="1"/>
  <c r="K14" i="2"/>
  <c r="L14" i="2" s="1"/>
  <c r="M14" i="2" s="1"/>
  <c r="N14" i="2" s="1"/>
  <c r="O14" i="2" s="1"/>
  <c r="P14" i="2" s="1"/>
  <c r="Q14" i="2" s="1"/>
  <c r="G14" i="2"/>
  <c r="H14" i="2" s="1"/>
  <c r="H13" i="2"/>
  <c r="I11" i="2"/>
  <c r="O23" i="2" s="1"/>
  <c r="H11" i="2"/>
  <c r="K10" i="2"/>
  <c r="L10" i="2" s="1"/>
  <c r="M10" i="2" s="1"/>
  <c r="N10" i="2" s="1"/>
  <c r="O10" i="2" s="1"/>
  <c r="P10" i="2" s="1"/>
  <c r="Q10" i="2" s="1"/>
  <c r="I10" i="2"/>
  <c r="O22" i="2" s="1"/>
  <c r="J9" i="2"/>
  <c r="K9" i="2" s="1"/>
  <c r="L9" i="2" s="1"/>
  <c r="M9" i="2" s="1"/>
  <c r="N9" i="2" s="1"/>
  <c r="O9" i="2" s="1"/>
  <c r="P9" i="2" s="1"/>
  <c r="Q9" i="2" s="1"/>
  <c r="G9" i="2"/>
  <c r="J8" i="2"/>
  <c r="K8" i="2" s="1"/>
  <c r="L8" i="2" s="1"/>
  <c r="M8" i="2" s="1"/>
  <c r="I8" i="2"/>
  <c r="E8" i="2"/>
  <c r="E7" i="2"/>
  <c r="E16" i="2" s="1"/>
  <c r="M12" i="1"/>
  <c r="N12" i="1" s="1"/>
  <c r="O12" i="1" s="1"/>
  <c r="P12" i="1" s="1"/>
  <c r="Q12" i="1" s="1"/>
  <c r="L12" i="1"/>
  <c r="K12" i="1"/>
  <c r="J12" i="1"/>
  <c r="K15" i="1"/>
  <c r="L8" i="1"/>
  <c r="M8" i="1" s="1"/>
  <c r="N8" i="1" s="1"/>
  <c r="O8" i="1" s="1"/>
  <c r="P8" i="1" s="1"/>
  <c r="Q8" i="1" s="1"/>
  <c r="K8" i="1"/>
  <c r="J8" i="1"/>
  <c r="E8" i="1"/>
  <c r="E7" i="1" s="1"/>
  <c r="I8" i="1"/>
  <c r="J9" i="1"/>
  <c r="I11" i="1"/>
  <c r="C10" i="3" s="1"/>
  <c r="I10" i="1"/>
  <c r="J45" i="1"/>
  <c r="K45" i="1" s="1"/>
  <c r="L45" i="1" s="1"/>
  <c r="M45" i="1" s="1"/>
  <c r="N45" i="1" s="1"/>
  <c r="O45" i="1" s="1"/>
  <c r="P45" i="1" s="1"/>
  <c r="Q45" i="1" s="1"/>
  <c r="G17" i="1"/>
  <c r="G15" i="1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25" i="3"/>
  <c r="A42" i="3"/>
  <c r="A43" i="3"/>
  <c r="A44" i="3"/>
  <c r="A40" i="3"/>
  <c r="A41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B9" i="3"/>
  <c r="B10" i="3"/>
  <c r="B11" i="3"/>
  <c r="B13" i="3"/>
  <c r="B14" i="3"/>
  <c r="B8" i="3"/>
  <c r="C11" i="3"/>
  <c r="C14" i="3"/>
  <c r="A9" i="3"/>
  <c r="A10" i="3"/>
  <c r="A11" i="3"/>
  <c r="A13" i="3"/>
  <c r="A14" i="3"/>
  <c r="A16" i="3"/>
  <c r="A19" i="3"/>
  <c r="A23" i="3"/>
  <c r="A24" i="3"/>
  <c r="A25" i="3"/>
  <c r="A26" i="3"/>
  <c r="A8" i="3"/>
  <c r="O25" i="1"/>
  <c r="O26" i="1"/>
  <c r="O28" i="1"/>
  <c r="I25" i="1"/>
  <c r="M19" i="1"/>
  <c r="N19" i="1" s="1"/>
  <c r="O19" i="1" s="1"/>
  <c r="P19" i="1" s="1"/>
  <c r="Q19" i="1" s="1"/>
  <c r="G8" i="2" l="1"/>
  <c r="H7" i="2"/>
  <c r="I7" i="2" s="1"/>
  <c r="I16" i="2"/>
  <c r="J7" i="2"/>
  <c r="N8" i="2"/>
  <c r="M16" i="2"/>
  <c r="M18" i="2" s="1"/>
  <c r="H16" i="2"/>
  <c r="H18" i="2" s="1"/>
  <c r="J17" i="2"/>
  <c r="K17" i="2" s="1"/>
  <c r="L17" i="2" s="1"/>
  <c r="G8" i="1"/>
  <c r="B7" i="3"/>
  <c r="H19" i="1"/>
  <c r="I19" i="1" s="1"/>
  <c r="H7" i="1"/>
  <c r="N16" i="2" l="1"/>
  <c r="N18" i="2" s="1"/>
  <c r="O8" i="2"/>
  <c r="J16" i="2"/>
  <c r="J18" i="2" s="1"/>
  <c r="K7" i="2"/>
  <c r="H20" i="2"/>
  <c r="H40" i="2" s="1"/>
  <c r="H41" i="2" s="1"/>
  <c r="H44" i="2" s="1"/>
  <c r="I18" i="2"/>
  <c r="O27" i="2"/>
  <c r="J19" i="1"/>
  <c r="K19" i="1" s="1"/>
  <c r="L19" i="1" s="1"/>
  <c r="O30" i="1"/>
  <c r="C18" i="3"/>
  <c r="I7" i="1"/>
  <c r="J7" i="1" s="1"/>
  <c r="J20" i="2" l="1"/>
  <c r="J40" i="2" s="1"/>
  <c r="O16" i="2"/>
  <c r="O18" i="2" s="1"/>
  <c r="P8" i="2"/>
  <c r="O29" i="2"/>
  <c r="I20" i="2"/>
  <c r="I40" i="2" s="1"/>
  <c r="K16" i="2"/>
  <c r="K18" i="2" s="1"/>
  <c r="L7" i="2"/>
  <c r="L16" i="2" s="1"/>
  <c r="L18" i="2" s="1"/>
  <c r="K7" i="1"/>
  <c r="L7" i="1" s="1"/>
  <c r="J18" i="1"/>
  <c r="K10" i="1"/>
  <c r="L10" i="1" s="1"/>
  <c r="M10" i="1" s="1"/>
  <c r="N10" i="1" s="1"/>
  <c r="O10" i="1" s="1"/>
  <c r="P10" i="1" s="1"/>
  <c r="Q10" i="1" s="1"/>
  <c r="O24" i="1"/>
  <c r="C9" i="3"/>
  <c r="E18" i="1"/>
  <c r="G53" i="1" s="1"/>
  <c r="B40" i="2" l="1"/>
  <c r="K20" i="2"/>
  <c r="K40" i="2" s="1"/>
  <c r="P16" i="2"/>
  <c r="P18" i="2" s="1"/>
  <c r="Q8" i="2"/>
  <c r="Q16" i="2" s="1"/>
  <c r="Q18" i="2" s="1"/>
  <c r="L20" i="2"/>
  <c r="L40" i="2" s="1"/>
  <c r="L41" i="2" s="1"/>
  <c r="L43" i="2" s="1"/>
  <c r="I41" i="2"/>
  <c r="J41" i="2"/>
  <c r="H11" i="1"/>
  <c r="H15" i="1"/>
  <c r="H17" i="1"/>
  <c r="J43" i="2" l="1"/>
  <c r="J44" i="2" s="1"/>
  <c r="J45" i="2"/>
  <c r="I45" i="2"/>
  <c r="I44" i="2"/>
  <c r="L44" i="2"/>
  <c r="L45" i="2"/>
  <c r="M40" i="2"/>
  <c r="K41" i="2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J25" i="1"/>
  <c r="K25" i="1" s="1"/>
  <c r="L25" i="1" s="1"/>
  <c r="I24" i="1"/>
  <c r="I23" i="1"/>
  <c r="K45" i="2" l="1"/>
  <c r="K43" i="2"/>
  <c r="K44" i="2" s="1"/>
  <c r="N40" i="2"/>
  <c r="M41" i="2"/>
  <c r="M43" i="2" s="1"/>
  <c r="J37" i="1"/>
  <c r="K37" i="1" s="1"/>
  <c r="L37" i="1" s="1"/>
  <c r="J33" i="1"/>
  <c r="K33" i="1" s="1"/>
  <c r="L33" i="1" s="1"/>
  <c r="J23" i="1"/>
  <c r="K23" i="1" s="1"/>
  <c r="L23" i="1" s="1"/>
  <c r="K40" i="1"/>
  <c r="L40" i="1" s="1"/>
  <c r="J36" i="1"/>
  <c r="K36" i="1" s="1"/>
  <c r="L36" i="1" s="1"/>
  <c r="J32" i="1"/>
  <c r="K32" i="1" s="1"/>
  <c r="L32" i="1" s="1"/>
  <c r="J28" i="1"/>
  <c r="K28" i="1" s="1"/>
  <c r="L28" i="1" s="1"/>
  <c r="J24" i="1"/>
  <c r="K24" i="1" s="1"/>
  <c r="L24" i="1" s="1"/>
  <c r="J39" i="1"/>
  <c r="K39" i="1" s="1"/>
  <c r="L39" i="1" s="1"/>
  <c r="J35" i="1"/>
  <c r="K35" i="1" s="1"/>
  <c r="L35" i="1" s="1"/>
  <c r="J31" i="1"/>
  <c r="K31" i="1" s="1"/>
  <c r="L31" i="1" s="1"/>
  <c r="J27" i="1"/>
  <c r="K27" i="1" s="1"/>
  <c r="L27" i="1" s="1"/>
  <c r="J29" i="1"/>
  <c r="K29" i="1" s="1"/>
  <c r="L29" i="1" s="1"/>
  <c r="J38" i="1"/>
  <c r="K38" i="1" s="1"/>
  <c r="L38" i="1" s="1"/>
  <c r="J34" i="1"/>
  <c r="K34" i="1" s="1"/>
  <c r="L34" i="1" s="1"/>
  <c r="J30" i="1"/>
  <c r="K30" i="1" s="1"/>
  <c r="L30" i="1" s="1"/>
  <c r="J26" i="1"/>
  <c r="K26" i="1" s="1"/>
  <c r="L26" i="1" s="1"/>
  <c r="L15" i="1"/>
  <c r="M15" i="1" s="1"/>
  <c r="K17" i="1"/>
  <c r="L17" i="1" s="1"/>
  <c r="M17" i="1" s="1"/>
  <c r="N17" i="1" s="1"/>
  <c r="O17" i="1" s="1"/>
  <c r="P17" i="1" s="1"/>
  <c r="Q17" i="1" s="1"/>
  <c r="O40" i="2" l="1"/>
  <c r="N41" i="2"/>
  <c r="N43" i="2" s="1"/>
  <c r="M45" i="2"/>
  <c r="M44" i="2"/>
  <c r="K9" i="1"/>
  <c r="L9" i="1" s="1"/>
  <c r="M9" i="1" s="1"/>
  <c r="N9" i="1" s="1"/>
  <c r="O9" i="1" s="1"/>
  <c r="P9" i="1" s="1"/>
  <c r="Q9" i="1" s="1"/>
  <c r="G9" i="1"/>
  <c r="O23" i="1"/>
  <c r="C8" i="3"/>
  <c r="N15" i="1"/>
  <c r="N45" i="2" l="1"/>
  <c r="N44" i="2"/>
  <c r="P40" i="2"/>
  <c r="O41" i="2"/>
  <c r="O43" i="2" s="1"/>
  <c r="O15" i="1"/>
  <c r="Q40" i="2" l="1"/>
  <c r="P41" i="2"/>
  <c r="P43" i="2" s="1"/>
  <c r="O45" i="2"/>
  <c r="O44" i="2"/>
  <c r="P15" i="1"/>
  <c r="Q41" i="2" l="1"/>
  <c r="Q43" i="2" s="1"/>
  <c r="P44" i="2"/>
  <c r="P45" i="2"/>
  <c r="Q15" i="1"/>
  <c r="K16" i="1"/>
  <c r="I18" i="1"/>
  <c r="O29" i="1" s="1"/>
  <c r="O27" i="1"/>
  <c r="G16" i="1"/>
  <c r="H16" i="1"/>
  <c r="H18" i="1" s="1"/>
  <c r="H20" i="1" s="1"/>
  <c r="C13" i="3"/>
  <c r="Q45" i="2" l="1"/>
  <c r="Q44" i="2"/>
  <c r="J20" i="1"/>
  <c r="J22" i="1" s="1"/>
  <c r="J42" i="1" s="1"/>
  <c r="J53" i="1" s="1"/>
  <c r="H22" i="1"/>
  <c r="H42" i="1" s="1"/>
  <c r="H43" i="1" s="1"/>
  <c r="H46" i="1" s="1"/>
  <c r="K18" i="1"/>
  <c r="K20" i="1" s="1"/>
  <c r="L16" i="1"/>
  <c r="C16" i="3"/>
  <c r="I20" i="1"/>
  <c r="J43" i="1" l="1"/>
  <c r="K22" i="1"/>
  <c r="K42" i="1" s="1"/>
  <c r="K53" i="1" s="1"/>
  <c r="C19" i="3"/>
  <c r="O31" i="1"/>
  <c r="I22" i="1"/>
  <c r="I42" i="1" s="1"/>
  <c r="I53" i="1" s="1"/>
  <c r="M16" i="1"/>
  <c r="L18" i="1"/>
  <c r="L20" i="1" s="1"/>
  <c r="J46" i="1" l="1"/>
  <c r="J47" i="1"/>
  <c r="K43" i="1"/>
  <c r="I43" i="1"/>
  <c r="M18" i="1"/>
  <c r="M20" i="1" s="1"/>
  <c r="N16" i="1"/>
  <c r="L22" i="1"/>
  <c r="L42" i="1" s="1"/>
  <c r="L53" i="1" s="1"/>
  <c r="C24" i="3"/>
  <c r="C44" i="3" s="1"/>
  <c r="C20" i="3"/>
  <c r="C21" i="3" s="1"/>
  <c r="I46" i="1" l="1"/>
  <c r="I47" i="1"/>
  <c r="K46" i="1"/>
  <c r="K47" i="1"/>
  <c r="M42" i="1"/>
  <c r="M53" i="1" s="1"/>
  <c r="C46" i="3"/>
  <c r="O16" i="1"/>
  <c r="N18" i="1"/>
  <c r="N20" i="1" s="1"/>
  <c r="L43" i="1"/>
  <c r="L46" i="1" l="1"/>
  <c r="L47" i="1"/>
  <c r="M43" i="1"/>
  <c r="N42" i="1"/>
  <c r="P16" i="1"/>
  <c r="O18" i="1"/>
  <c r="O20" i="1" s="1"/>
  <c r="M46" i="1" l="1"/>
  <c r="M47" i="1"/>
  <c r="O42" i="1"/>
  <c r="O43" i="1" s="1"/>
  <c r="N53" i="1"/>
  <c r="N43" i="1"/>
  <c r="P18" i="1"/>
  <c r="P20" i="1" s="1"/>
  <c r="Q16" i="1"/>
  <c r="Q18" i="1" s="1"/>
  <c r="Q20" i="1" s="1"/>
  <c r="O46" i="1" l="1"/>
  <c r="O47" i="1"/>
  <c r="N46" i="1"/>
  <c r="N47" i="1"/>
  <c r="P42" i="1"/>
  <c r="P43" i="1" s="1"/>
  <c r="O53" i="1"/>
  <c r="P46" i="1" l="1"/>
  <c r="P47" i="1"/>
  <c r="Q42" i="1"/>
  <c r="P53" i="1"/>
  <c r="Q53" i="1" l="1"/>
  <c r="Q43" i="1"/>
  <c r="Q46" i="1" l="1"/>
  <c r="Q47" i="1"/>
</calcChain>
</file>

<file path=xl/sharedStrings.xml><?xml version="1.0" encoding="utf-8"?>
<sst xmlns="http://schemas.openxmlformats.org/spreadsheetml/2006/main" count="179" uniqueCount="104">
  <si>
    <t>Lease</t>
  </si>
  <si>
    <t>Square</t>
  </si>
  <si>
    <t>Annual Rent</t>
  </si>
  <si>
    <t>Description</t>
  </si>
  <si>
    <t>suite</t>
  </si>
  <si>
    <t>Expiration</t>
  </si>
  <si>
    <t>Options</t>
  </si>
  <si>
    <t>Feet</t>
  </si>
  <si>
    <t>esc</t>
  </si>
  <si>
    <t>$/SF</t>
  </si>
  <si>
    <t>Year 1</t>
  </si>
  <si>
    <t>Total - Park:</t>
  </si>
  <si>
    <t>management fees</t>
  </si>
  <si>
    <t>gas</t>
  </si>
  <si>
    <t>electricity</t>
  </si>
  <si>
    <t>water sewer</t>
  </si>
  <si>
    <t>general repair</t>
  </si>
  <si>
    <t>plumbing</t>
  </si>
  <si>
    <t>hvac</t>
  </si>
  <si>
    <t>electircl repair</t>
  </si>
  <si>
    <t>painting</t>
  </si>
  <si>
    <t>fire and security</t>
  </si>
  <si>
    <t>signager</t>
  </si>
  <si>
    <t>elevator</t>
  </si>
  <si>
    <t>ground maint</t>
  </si>
  <si>
    <t>grounds maint contract</t>
  </si>
  <si>
    <t>cleaning service</t>
  </si>
  <si>
    <t>cleaning supplies</t>
  </si>
  <si>
    <t>trash removal</t>
  </si>
  <si>
    <t xml:space="preserve">insurance property liability </t>
  </si>
  <si>
    <t>taxes real estate</t>
  </si>
  <si>
    <t>taxes mall maintenance/encroachment</t>
  </si>
  <si>
    <t>total expenses</t>
  </si>
  <si>
    <t>net operating income</t>
  </si>
  <si>
    <t xml:space="preserve"> year 2 </t>
  </si>
  <si>
    <t>broker:   marty Rifken</t>
  </si>
  <si>
    <t>Gross collectable income</t>
  </si>
  <si>
    <t>note 1</t>
  </si>
  <si>
    <t xml:space="preserve">basement proposed - offices </t>
  </si>
  <si>
    <t>Seller prepared an ofice floor plan for offices in the basement.   Historic features, windows.  Above reflects square feet.</t>
  </si>
  <si>
    <t>Operating Expenses</t>
  </si>
  <si>
    <t>Ring and DuChateau</t>
  </si>
  <si>
    <t>Synergos Counseling, LLC</t>
  </si>
  <si>
    <t>2021-2022</t>
  </si>
  <si>
    <t>2022-2023</t>
  </si>
  <si>
    <t>2023-2024</t>
  </si>
  <si>
    <t>Subtotal Rent</t>
  </si>
  <si>
    <t>2024-2025</t>
  </si>
  <si>
    <t>2025-2026</t>
  </si>
  <si>
    <t>2026-2027</t>
  </si>
  <si>
    <t>2027-2028</t>
  </si>
  <si>
    <t>2028-2029</t>
  </si>
  <si>
    <t>broker projection after year 5</t>
  </si>
  <si>
    <t>expenses increase 2% beginning year 6</t>
  </si>
  <si>
    <t>parking rent increase to $110 year 6</t>
  </si>
  <si>
    <t>2029-2030</t>
  </si>
  <si>
    <t>2030-2031</t>
  </si>
  <si>
    <t>INTERNATIONAL HARVESTER BLDING</t>
  </si>
  <si>
    <t>301 S. BLOUNT STREET</t>
  </si>
  <si>
    <t>Owner Price</t>
  </si>
  <si>
    <t>Capitalization rates</t>
  </si>
  <si>
    <t>two five year options</t>
  </si>
  <si>
    <t>note 2</t>
  </si>
  <si>
    <t>Bold type represents lease and/or lease option dates.</t>
  </si>
  <si>
    <t>synergos</t>
  </si>
  <si>
    <t>recap 2021</t>
  </si>
  <si>
    <t>Tergar storage</t>
  </si>
  <si>
    <t>301 s. blount</t>
  </si>
  <si>
    <t>2022-23 income and expenses</t>
  </si>
  <si>
    <t>Less vacancy</t>
  </si>
  <si>
    <t>Collectrable income</t>
  </si>
  <si>
    <t>Net income</t>
  </si>
  <si>
    <t>expenses/sf</t>
  </si>
  <si>
    <t>sq. feet</t>
  </si>
  <si>
    <t>price</t>
  </si>
  <si>
    <t>cap rate</t>
  </si>
  <si>
    <t>Note 3</t>
  </si>
  <si>
    <t>rent increase basement  storage  room Kilps - year 2026  by 103%</t>
  </si>
  <si>
    <t>m-m</t>
  </si>
  <si>
    <t>Synergos</t>
  </si>
  <si>
    <t>small basement  chain  linked Storage to Kilps. Month to month lease</t>
  </si>
  <si>
    <t>Tergar spaces 102&amp;104 plus basement</t>
  </si>
  <si>
    <t>remaining indeaver</t>
  </si>
  <si>
    <t xml:space="preserve">fine Point Accounting </t>
  </si>
  <si>
    <t>Loan</t>
  </si>
  <si>
    <t>balance</t>
  </si>
  <si>
    <t>interest</t>
  </si>
  <si>
    <t>amortization</t>
  </si>
  <si>
    <t>monthly payments</t>
  </si>
  <si>
    <t>annual payment</t>
  </si>
  <si>
    <t>lease expiraton</t>
  </si>
  <si>
    <t>sq. ft.</t>
  </si>
  <si>
    <t>rent/sq.ft</t>
  </si>
  <si>
    <t>Ren esc.</t>
  </si>
  <si>
    <t>remaining vacant space</t>
  </si>
  <si>
    <t>total expenses cost/sf</t>
  </si>
  <si>
    <t>Capitalization rate</t>
  </si>
  <si>
    <t>Sale Price</t>
  </si>
  <si>
    <t>vacant space</t>
  </si>
  <si>
    <t>va</t>
  </si>
  <si>
    <t>fine point consulting</t>
  </si>
  <si>
    <t>cash flow</t>
  </si>
  <si>
    <t>NOI</t>
  </si>
  <si>
    <t>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</si>
</sst>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%"/>
    <numFmt numFmtId="167" formatCode="0.0000%"/>
    <numFmt numFmtId="168" formatCode="0.00000%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 val="singleAccounting"/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Times New Roman"/>
      <family val="1"/>
    </font>
    <font>
      <u val="singleAccounting"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u/>
      <sz val="8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u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/>
    <xf numFmtId="164" fontId="3" fillId="0" borderId="0" xfId="5" applyNumberFormat="1" applyFont="1"/>
    <xf numFmtId="0" fontId="4" fillId="0" borderId="0" xfId="0" applyFont="1" applyAlignment="1">
      <alignment horizontal="center" wrapText="1"/>
    </xf>
    <xf numFmtId="164" fontId="4" fillId="0" borderId="0" xfId="5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4" fillId="0" borderId="1" xfId="5" applyNumberFormat="1" applyFont="1" applyBorder="1" applyAlignment="1">
      <alignment horizontal="center" wrapText="1"/>
    </xf>
    <xf numFmtId="10" fontId="3" fillId="0" borderId="0" xfId="0" applyNumberFormat="1" applyFont="1"/>
    <xf numFmtId="44" fontId="3" fillId="0" borderId="0" xfId="6" applyFont="1"/>
    <xf numFmtId="165" fontId="3" fillId="0" borderId="0" xfId="6" applyNumberFormat="1" applyFont="1"/>
    <xf numFmtId="0" fontId="4" fillId="0" borderId="0" xfId="0" applyFont="1"/>
    <xf numFmtId="14" fontId="3" fillId="0" borderId="0" xfId="0" applyNumberFormat="1" applyFont="1"/>
    <xf numFmtId="8" fontId="3" fillId="0" borderId="0" xfId="0" applyNumberFormat="1" applyFont="1"/>
    <xf numFmtId="6" fontId="3" fillId="0" borderId="0" xfId="0" applyNumberFormat="1" applyFont="1"/>
    <xf numFmtId="165" fontId="3" fillId="0" borderId="0" xfId="0" applyNumberFormat="1" applyFont="1"/>
    <xf numFmtId="49" fontId="4" fillId="0" borderId="0" xfId="0" applyNumberFormat="1" applyFont="1"/>
    <xf numFmtId="43" fontId="3" fillId="0" borderId="0" xfId="5" applyFont="1"/>
    <xf numFmtId="6" fontId="6" fillId="0" borderId="0" xfId="0" applyNumberFormat="1" applyFont="1"/>
    <xf numFmtId="166" fontId="3" fillId="0" borderId="0" xfId="7" applyNumberFormat="1" applyFont="1"/>
    <xf numFmtId="49" fontId="4" fillId="0" borderId="1" xfId="0" applyNumberFormat="1" applyFont="1" applyBorder="1" applyAlignment="1">
      <alignment horizontal="center"/>
    </xf>
    <xf numFmtId="10" fontId="3" fillId="0" borderId="0" xfId="5" applyNumberFormat="1" applyFont="1"/>
    <xf numFmtId="165" fontId="6" fillId="0" borderId="0" xfId="6" applyNumberFormat="1" applyFont="1"/>
    <xf numFmtId="165" fontId="4" fillId="0" borderId="0" xfId="0" applyNumberFormat="1" applyFont="1"/>
    <xf numFmtId="164" fontId="7" fillId="0" borderId="0" xfId="5" applyNumberFormat="1" applyFont="1"/>
    <xf numFmtId="6" fontId="4" fillId="0" borderId="0" xfId="0" applyNumberFormat="1" applyFont="1"/>
    <xf numFmtId="165" fontId="4" fillId="0" borderId="0" xfId="6" applyNumberFormat="1" applyFont="1"/>
    <xf numFmtId="6" fontId="10" fillId="0" borderId="0" xfId="0" applyNumberFormat="1" applyFont="1"/>
    <xf numFmtId="165" fontId="10" fillId="0" borderId="0" xfId="6" applyNumberFormat="1" applyFont="1"/>
    <xf numFmtId="167" fontId="3" fillId="0" borderId="0" xfId="7" applyNumberFormat="1" applyFont="1"/>
    <xf numFmtId="6" fontId="11" fillId="0" borderId="0" xfId="0" applyNumberFormat="1" applyFont="1"/>
    <xf numFmtId="164" fontId="0" fillId="0" borderId="0" xfId="5" applyNumberFormat="1" applyFont="1"/>
    <xf numFmtId="10" fontId="0" fillId="0" borderId="0" xfId="7" applyNumberFormat="1" applyFont="1"/>
    <xf numFmtId="165" fontId="0" fillId="0" borderId="0" xfId="6" applyNumberFormat="1" applyFont="1"/>
    <xf numFmtId="0" fontId="12" fillId="2" borderId="0" xfId="0" applyFont="1" applyFill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6" fontId="13" fillId="2" borderId="0" xfId="0" applyNumberFormat="1" applyFont="1" applyFill="1"/>
    <xf numFmtId="6" fontId="12" fillId="2" borderId="0" xfId="0" applyNumberFormat="1" applyFont="1" applyFill="1"/>
    <xf numFmtId="6" fontId="14" fillId="2" borderId="0" xfId="0" applyNumberFormat="1" applyFont="1" applyFill="1"/>
    <xf numFmtId="165" fontId="13" fillId="2" borderId="0" xfId="0" applyNumberFormat="1" applyFont="1" applyFill="1"/>
    <xf numFmtId="6" fontId="15" fillId="2" borderId="0" xfId="0" applyNumberFormat="1" applyFont="1" applyFill="1"/>
    <xf numFmtId="164" fontId="3" fillId="0" borderId="0" xfId="0" applyNumberFormat="1" applyFont="1"/>
    <xf numFmtId="0" fontId="4" fillId="0" borderId="1" xfId="0" applyFont="1" applyBorder="1" applyAlignment="1">
      <alignment horizontal="center"/>
    </xf>
    <xf numFmtId="168" fontId="3" fillId="0" borderId="0" xfId="7" applyNumberFormat="1" applyFont="1"/>
    <xf numFmtId="49" fontId="5" fillId="0" borderId="0" xfId="0" applyNumberFormat="1" applyFont="1" applyAlignment="1">
      <alignment wrapText="1"/>
    </xf>
    <xf numFmtId="14" fontId="5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49" fontId="4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wrapText="1"/>
    </xf>
    <xf numFmtId="0" fontId="16" fillId="0" borderId="0" xfId="0" applyFont="1"/>
    <xf numFmtId="14" fontId="16" fillId="0" borderId="0" xfId="0" applyNumberFormat="1" applyFont="1" applyAlignment="1">
      <alignment horizontal="left"/>
    </xf>
    <xf numFmtId="14" fontId="0" fillId="0" borderId="0" xfId="0" applyNumberFormat="1"/>
    <xf numFmtId="49" fontId="0" fillId="0" borderId="0" xfId="0" applyNumberFormat="1"/>
    <xf numFmtId="6" fontId="0" fillId="0" borderId="0" xfId="0" applyNumberFormat="1"/>
    <xf numFmtId="49" fontId="16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wrapText="1"/>
    </xf>
    <xf numFmtId="0" fontId="18" fillId="0" borderId="0" xfId="0" applyFont="1"/>
    <xf numFmtId="164" fontId="18" fillId="0" borderId="0" xfId="5" applyNumberFormat="1" applyFont="1"/>
    <xf numFmtId="0" fontId="17" fillId="0" borderId="0" xfId="0" applyFont="1"/>
    <xf numFmtId="14" fontId="17" fillId="0" borderId="0" xfId="0" applyNumberFormat="1" applyFont="1" applyAlignment="1">
      <alignment horizontal="left" wrapText="1"/>
    </xf>
    <xf numFmtId="8" fontId="18" fillId="0" borderId="0" xfId="0" applyNumberFormat="1" applyFont="1"/>
    <xf numFmtId="6" fontId="18" fillId="0" borderId="0" xfId="0" applyNumberFormat="1" applyFont="1"/>
    <xf numFmtId="49" fontId="18" fillId="0" borderId="0" xfId="0" applyNumberFormat="1" applyFont="1" applyAlignment="1">
      <alignment wrapText="1"/>
    </xf>
    <xf numFmtId="0" fontId="17" fillId="0" borderId="0" xfId="0" applyFont="1" applyAlignment="1">
      <alignment horizontal="center" wrapText="1"/>
    </xf>
    <xf numFmtId="49" fontId="17" fillId="0" borderId="1" xfId="0" applyNumberFormat="1" applyFont="1" applyBorder="1" applyAlignment="1">
      <alignment horizontal="center" wrapText="1"/>
    </xf>
    <xf numFmtId="0" fontId="21" fillId="0" borderId="0" xfId="0" applyFont="1" applyAlignment="1">
      <alignment wrapText="1"/>
    </xf>
    <xf numFmtId="165" fontId="18" fillId="0" borderId="0" xfId="0" applyNumberFormat="1" applyFont="1"/>
    <xf numFmtId="6" fontId="25" fillId="0" borderId="0" xfId="0" applyNumberFormat="1" applyFont="1"/>
    <xf numFmtId="165" fontId="25" fillId="0" borderId="0" xfId="6" applyNumberFormat="1" applyFont="1"/>
    <xf numFmtId="49" fontId="17" fillId="0" borderId="0" xfId="0" applyNumberFormat="1" applyFont="1" applyAlignment="1">
      <alignment horizontal="center" wrapText="1"/>
    </xf>
    <xf numFmtId="43" fontId="18" fillId="0" borderId="0" xfId="5" applyFont="1"/>
    <xf numFmtId="164" fontId="18" fillId="0" borderId="0" xfId="0" applyNumberFormat="1" applyFont="1"/>
    <xf numFmtId="44" fontId="18" fillId="0" borderId="0" xfId="6" applyFont="1"/>
    <xf numFmtId="43" fontId="17" fillId="0" borderId="0" xfId="5" applyFont="1"/>
    <xf numFmtId="43" fontId="17" fillId="0" borderId="0" xfId="5" applyFont="1" applyAlignment="1">
      <alignment horizontal="center" wrapText="1"/>
    </xf>
    <xf numFmtId="43" fontId="17" fillId="0" borderId="1" xfId="5" applyFont="1" applyBorder="1" applyAlignment="1">
      <alignment horizontal="center"/>
    </xf>
    <xf numFmtId="43" fontId="17" fillId="0" borderId="1" xfId="5" applyFont="1" applyBorder="1" applyAlignment="1">
      <alignment horizontal="center" wrapText="1"/>
    </xf>
    <xf numFmtId="43" fontId="0" fillId="0" borderId="0" xfId="5" applyFont="1" applyAlignment="1">
      <alignment wrapText="1"/>
    </xf>
    <xf numFmtId="43" fontId="0" fillId="0" borderId="0" xfId="5" applyFont="1"/>
    <xf numFmtId="8" fontId="0" fillId="0" borderId="0" xfId="5" applyNumberFormat="1" applyFont="1" applyAlignment="1">
      <alignment wrapText="1"/>
    </xf>
    <xf numFmtId="49" fontId="17" fillId="0" borderId="0" xfId="0" applyNumberFormat="1" applyFont="1"/>
    <xf numFmtId="43" fontId="18" fillId="0" borderId="0" xfId="5" applyFont="1" applyAlignment="1"/>
    <xf numFmtId="164" fontId="20" fillId="2" borderId="0" xfId="5" applyNumberFormat="1" applyFont="1" applyFill="1"/>
    <xf numFmtId="164" fontId="17" fillId="0" borderId="0" xfId="5" applyNumberFormat="1" applyFont="1"/>
    <xf numFmtId="164" fontId="19" fillId="2" borderId="0" xfId="5" applyNumberFormat="1" applyFont="1" applyFill="1"/>
    <xf numFmtId="164" fontId="17" fillId="0" borderId="0" xfId="0" applyNumberFormat="1" applyFont="1"/>
    <xf numFmtId="164" fontId="17" fillId="0" borderId="0" xfId="6" applyNumberFormat="1" applyFont="1"/>
    <xf numFmtId="164" fontId="18" fillId="0" borderId="0" xfId="6" applyNumberFormat="1" applyFont="1"/>
    <xf numFmtId="14" fontId="18" fillId="0" borderId="0" xfId="5" applyNumberFormat="1" applyFont="1" applyAlignment="1"/>
    <xf numFmtId="14" fontId="17" fillId="0" borderId="0" xfId="5" applyNumberFormat="1" applyFont="1"/>
    <xf numFmtId="14" fontId="18" fillId="0" borderId="0" xfId="5" applyNumberFormat="1" applyFont="1"/>
    <xf numFmtId="14" fontId="17" fillId="0" borderId="0" xfId="5" applyNumberFormat="1" applyFont="1" applyAlignment="1">
      <alignment horizontal="center" wrapText="1"/>
    </xf>
    <xf numFmtId="14" fontId="17" fillId="0" borderId="1" xfId="5" applyNumberFormat="1" applyFont="1" applyBorder="1" applyAlignment="1">
      <alignment horizontal="center" wrapText="1"/>
    </xf>
    <xf numFmtId="14" fontId="0" fillId="0" borderId="0" xfId="5" applyNumberFormat="1" applyFont="1" applyAlignment="1">
      <alignment wrapText="1"/>
    </xf>
    <xf numFmtId="10" fontId="18" fillId="0" borderId="0" xfId="7" applyNumberFormat="1" applyFont="1"/>
    <xf numFmtId="164" fontId="23" fillId="0" borderId="0" xfId="5" applyNumberFormat="1" applyFont="1"/>
    <xf numFmtId="164" fontId="23" fillId="0" borderId="0" xfId="0" applyNumberFormat="1" applyFont="1"/>
    <xf numFmtId="164" fontId="23" fillId="0" borderId="0" xfId="6" applyNumberFormat="1" applyFont="1"/>
    <xf numFmtId="49" fontId="18" fillId="0" borderId="0" xfId="0" applyNumberFormat="1" applyFont="1"/>
    <xf numFmtId="10" fontId="0" fillId="0" borderId="0" xfId="5" applyNumberFormat="1" applyFont="1" applyAlignment="1">
      <alignment wrapText="1"/>
    </xf>
    <xf numFmtId="164" fontId="18" fillId="0" borderId="0" xfId="7" applyNumberFormat="1" applyFont="1"/>
    <xf numFmtId="164" fontId="17" fillId="0" borderId="0" xfId="5" applyNumberFormat="1" applyFont="1" applyBorder="1" applyAlignment="1">
      <alignment horizontal="center" wrapText="1"/>
    </xf>
    <xf numFmtId="164" fontId="17" fillId="0" borderId="0" xfId="7" applyNumberFormat="1" applyFont="1" applyAlignment="1">
      <alignment horizontal="center" wrapText="1"/>
    </xf>
    <xf numFmtId="164" fontId="17" fillId="0" borderId="0" xfId="6" applyNumberFormat="1" applyFont="1" applyAlignment="1">
      <alignment horizontal="center" wrapText="1"/>
    </xf>
    <xf numFmtId="164" fontId="17" fillId="0" borderId="0" xfId="5" applyNumberFormat="1" applyFont="1" applyAlignment="1">
      <alignment horizontal="center" wrapText="1"/>
    </xf>
    <xf numFmtId="164" fontId="19" fillId="2" borderId="0" xfId="5" applyNumberFormat="1" applyFont="1" applyFill="1" applyAlignment="1">
      <alignment horizontal="center" wrapText="1"/>
    </xf>
    <xf numFmtId="164" fontId="0" fillId="0" borderId="0" xfId="0" applyNumberFormat="1"/>
    <xf numFmtId="164" fontId="17" fillId="0" borderId="1" xfId="5" applyNumberFormat="1" applyFont="1" applyBorder="1" applyAlignment="1">
      <alignment horizontal="center" wrapText="1"/>
    </xf>
    <xf numFmtId="164" fontId="17" fillId="0" borderId="1" xfId="7" applyNumberFormat="1" applyFont="1" applyBorder="1" applyAlignment="1">
      <alignment horizontal="center" wrapText="1"/>
    </xf>
    <xf numFmtId="164" fontId="17" fillId="0" borderId="1" xfId="6" applyNumberFormat="1" applyFont="1" applyBorder="1" applyAlignment="1">
      <alignment horizontal="center" wrapText="1"/>
    </xf>
    <xf numFmtId="164" fontId="19" fillId="2" borderId="1" xfId="5" applyNumberFormat="1" applyFont="1" applyFill="1" applyBorder="1" applyAlignment="1">
      <alignment horizontal="center" wrapText="1"/>
    </xf>
    <xf numFmtId="164" fontId="17" fillId="0" borderId="0" xfId="0" applyNumberFormat="1" applyFont="1" applyAlignment="1">
      <alignment horizontal="center" wrapText="1"/>
    </xf>
    <xf numFmtId="164" fontId="22" fillId="0" borderId="0" xfId="5" applyNumberFormat="1" applyFont="1"/>
    <xf numFmtId="164" fontId="24" fillId="2" borderId="0" xfId="5" applyNumberFormat="1" applyFont="1" applyFill="1"/>
    <xf numFmtId="164" fontId="25" fillId="0" borderId="0" xfId="5" applyNumberFormat="1" applyFont="1"/>
    <xf numFmtId="164" fontId="26" fillId="2" borderId="0" xfId="5" applyNumberFormat="1" applyFont="1" applyFill="1"/>
    <xf numFmtId="164" fontId="25" fillId="0" borderId="0" xfId="0" applyNumberFormat="1" applyFont="1"/>
    <xf numFmtId="164" fontId="17" fillId="0" borderId="0" xfId="7" applyNumberFormat="1" applyFont="1"/>
    <xf numFmtId="164" fontId="0" fillId="0" borderId="0" xfId="7" applyNumberFormat="1" applyFont="1"/>
    <xf numFmtId="164" fontId="0" fillId="0" borderId="0" xfId="6" applyNumberFormat="1" applyFont="1"/>
    <xf numFmtId="14" fontId="18" fillId="0" borderId="0" xfId="5" applyNumberFormat="1" applyFont="1" applyAlignment="1">
      <alignment wrapText="1"/>
    </xf>
  </cellXfs>
  <cellStyles count="8">
    <cellStyle name="Comma" xfId="5" builtinId="3"/>
    <cellStyle name="Comma 2" xfId="4" xr:uid="{00000000-0005-0000-0000-000001000000}"/>
    <cellStyle name="Currency" xfId="6" builtinId="4"/>
    <cellStyle name="Currency 2" xfId="2" xr:uid="{00000000-0005-0000-0000-000003000000}"/>
    <cellStyle name="Normal" xfId="0" builtinId="0"/>
    <cellStyle name="Normal 2" xfId="1" xr:uid="{00000000-0005-0000-0000-000005000000}"/>
    <cellStyle name="Percent" xfId="7" builtinId="5"/>
    <cellStyle name="Percent 2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5"/>
  <sheetViews>
    <sheetView topLeftCell="J39" zoomScale="86" zoomScaleNormal="86" workbookViewId="0">
      <selection sqref="A1:U57"/>
    </sheetView>
  </sheetViews>
  <sheetFormatPr defaultColWidth="9.07421875" defaultRowHeight="18.45" x14ac:dyDescent="0.5"/>
  <cols>
    <col min="1" max="1" width="43.69140625" style="45" customWidth="1"/>
    <col min="2" max="2" width="6.4609375" style="1" customWidth="1"/>
    <col min="3" max="3" width="13.53515625" style="1" customWidth="1"/>
    <col min="4" max="4" width="15.53515625" style="1" customWidth="1"/>
    <col min="5" max="5" width="10.07421875" style="2" customWidth="1"/>
    <col min="6" max="6" width="9.07421875" style="1" customWidth="1"/>
    <col min="7" max="7" width="13.69140625" style="1" customWidth="1"/>
    <col min="8" max="9" width="14.69140625" style="1" hidden="1" customWidth="1"/>
    <col min="10" max="13" width="14.69140625" style="1" customWidth="1"/>
    <col min="14" max="14" width="18.4609375" style="1" customWidth="1"/>
    <col min="15" max="17" width="14.69140625" style="1" customWidth="1"/>
    <col min="18" max="18" width="17.53515625" style="1" customWidth="1"/>
    <col min="19" max="16384" width="9.07421875" style="1"/>
  </cols>
  <sheetData>
    <row r="1" spans="1:18" ht="41.15" x14ac:dyDescent="0.55000000000000004">
      <c r="A1" s="43" t="s">
        <v>57</v>
      </c>
    </row>
    <row r="2" spans="1:18" ht="20.6" x14ac:dyDescent="0.55000000000000004">
      <c r="A2" s="43" t="s">
        <v>58</v>
      </c>
      <c r="C2" s="10"/>
      <c r="D2" s="25"/>
    </row>
    <row r="3" spans="1:18" ht="20.6" x14ac:dyDescent="0.55000000000000004">
      <c r="A3" s="44">
        <v>45057</v>
      </c>
      <c r="B3" s="11"/>
      <c r="H3" s="12"/>
    </row>
    <row r="4" spans="1:18" ht="20.6" x14ac:dyDescent="0.55000000000000004">
      <c r="A4" s="43" t="s">
        <v>35</v>
      </c>
      <c r="H4" s="12"/>
      <c r="J4" s="13"/>
      <c r="K4" s="12"/>
    </row>
    <row r="5" spans="1:18" ht="36.9" x14ac:dyDescent="0.5">
      <c r="C5" s="3" t="s">
        <v>0</v>
      </c>
      <c r="D5" s="3" t="s">
        <v>0</v>
      </c>
      <c r="E5" s="4" t="s">
        <v>1</v>
      </c>
      <c r="F5" s="3"/>
      <c r="G5" s="3" t="s">
        <v>2</v>
      </c>
      <c r="H5" s="3" t="s">
        <v>43</v>
      </c>
      <c r="I5" s="33" t="s">
        <v>44</v>
      </c>
      <c r="J5" s="3" t="s">
        <v>45</v>
      </c>
      <c r="K5" s="3" t="s">
        <v>47</v>
      </c>
      <c r="L5" s="3" t="s">
        <v>48</v>
      </c>
      <c r="M5" s="3" t="s">
        <v>49</v>
      </c>
      <c r="N5" s="3" t="s">
        <v>50</v>
      </c>
      <c r="O5" s="3" t="s">
        <v>51</v>
      </c>
      <c r="P5" s="3" t="s">
        <v>55</v>
      </c>
      <c r="Q5" s="3" t="s">
        <v>56</v>
      </c>
    </row>
    <row r="6" spans="1:18" x14ac:dyDescent="0.5">
      <c r="A6" s="46" t="s">
        <v>3</v>
      </c>
      <c r="B6" s="19" t="s">
        <v>4</v>
      </c>
      <c r="C6" s="5" t="s">
        <v>5</v>
      </c>
      <c r="D6" s="5" t="s">
        <v>6</v>
      </c>
      <c r="E6" s="6" t="s">
        <v>7</v>
      </c>
      <c r="F6" s="5" t="s">
        <v>8</v>
      </c>
      <c r="G6" s="5" t="s">
        <v>9</v>
      </c>
      <c r="H6" s="5" t="s">
        <v>10</v>
      </c>
      <c r="I6" s="34" t="s">
        <v>34</v>
      </c>
      <c r="J6" s="5"/>
      <c r="K6" s="5"/>
      <c r="L6" s="5"/>
      <c r="M6" s="5"/>
      <c r="N6" s="5"/>
      <c r="O6" s="5"/>
      <c r="P6" s="5"/>
      <c r="Q6" s="5"/>
    </row>
    <row r="7" spans="1:18" x14ac:dyDescent="0.5">
      <c r="A7" s="45" t="s">
        <v>38</v>
      </c>
      <c r="E7" s="2">
        <f>2692-E8</f>
        <v>2516</v>
      </c>
      <c r="F7" s="7"/>
      <c r="G7" s="12">
        <v>0</v>
      </c>
      <c r="H7" s="13">
        <f>G7*E7</f>
        <v>0</v>
      </c>
      <c r="I7" s="35">
        <f>H7*(1+$F7)</f>
        <v>0</v>
      </c>
      <c r="J7" s="13">
        <f t="shared" ref="J7:L8" si="0">I7*(1+$F7)</f>
        <v>0</v>
      </c>
      <c r="K7" s="13">
        <f t="shared" si="0"/>
        <v>0</v>
      </c>
      <c r="L7" s="13">
        <f t="shared" si="0"/>
        <v>0</v>
      </c>
      <c r="R7" s="10" t="s">
        <v>37</v>
      </c>
    </row>
    <row r="8" spans="1:18" ht="36.9" x14ac:dyDescent="0.5">
      <c r="A8" s="45" t="s">
        <v>80</v>
      </c>
      <c r="C8" s="11" t="s">
        <v>78</v>
      </c>
      <c r="E8" s="2">
        <f>11*16</f>
        <v>176</v>
      </c>
      <c r="F8" s="7"/>
      <c r="G8" s="12">
        <f>J8/E8</f>
        <v>11.863636363636363</v>
      </c>
      <c r="H8" s="13"/>
      <c r="I8" s="12">
        <f>174*12</f>
        <v>2088</v>
      </c>
      <c r="J8" s="13">
        <f>174*12</f>
        <v>2088</v>
      </c>
      <c r="K8" s="13">
        <f t="shared" ref="K8:L17" si="1">J8*(1+$F8)</f>
        <v>2088</v>
      </c>
      <c r="L8" s="13">
        <f t="shared" si="0"/>
        <v>2088</v>
      </c>
      <c r="M8" s="13">
        <f>L8*103%</f>
        <v>2150.64</v>
      </c>
      <c r="N8" s="13">
        <f>M8</f>
        <v>2150.64</v>
      </c>
      <c r="O8" s="13">
        <f t="shared" ref="O8:Q8" si="2">N8</f>
        <v>2150.64</v>
      </c>
      <c r="P8" s="13">
        <f t="shared" si="2"/>
        <v>2150.64</v>
      </c>
      <c r="Q8" s="13">
        <f t="shared" si="2"/>
        <v>2150.64</v>
      </c>
      <c r="R8" s="13" t="s">
        <v>62</v>
      </c>
    </row>
    <row r="9" spans="1:18" x14ac:dyDescent="0.5">
      <c r="A9" s="45" t="s">
        <v>81</v>
      </c>
      <c r="B9" s="1">
        <v>102</v>
      </c>
      <c r="C9" s="11">
        <v>45930</v>
      </c>
      <c r="E9" s="2">
        <v>2705</v>
      </c>
      <c r="F9" s="7">
        <v>0.03</v>
      </c>
      <c r="G9" s="12">
        <f>I9/E9</f>
        <v>24.721604436229207</v>
      </c>
      <c r="H9" s="24">
        <v>63983</v>
      </c>
      <c r="I9" s="36">
        <v>66871.94</v>
      </c>
      <c r="J9" s="24">
        <f>I9*103%</f>
        <v>68878.098200000008</v>
      </c>
      <c r="K9" s="13">
        <f t="shared" si="1"/>
        <v>70944.441146000012</v>
      </c>
      <c r="L9" s="13">
        <f t="shared" si="1"/>
        <v>73072.774380380011</v>
      </c>
      <c r="M9" s="13">
        <f t="shared" ref="M9" si="3">L9*(1+$F9)</f>
        <v>75264.957611791411</v>
      </c>
      <c r="N9" s="13">
        <f t="shared" ref="N9" si="4">M9*(1+$F9)</f>
        <v>77522.906340145157</v>
      </c>
      <c r="O9" s="13">
        <f t="shared" ref="O9" si="5">N9*(1+$F9)</f>
        <v>79848.593530349521</v>
      </c>
      <c r="P9" s="13">
        <f t="shared" ref="P9" si="6">O9*(1+$F9)</f>
        <v>82244.051336260003</v>
      </c>
      <c r="Q9" s="13">
        <f t="shared" ref="Q9" si="7">P9*(1+$F9)</f>
        <v>84711.372876347799</v>
      </c>
    </row>
    <row r="10" spans="1:18" x14ac:dyDescent="0.5">
      <c r="A10" s="45" t="s">
        <v>41</v>
      </c>
      <c r="B10" s="1">
        <v>101</v>
      </c>
      <c r="C10" s="11">
        <v>45595</v>
      </c>
      <c r="E10" s="2">
        <v>2135</v>
      </c>
      <c r="F10" s="7">
        <v>0.02</v>
      </c>
      <c r="G10" s="12">
        <v>25</v>
      </c>
      <c r="H10" s="24">
        <v>50200.34</v>
      </c>
      <c r="I10" s="36">
        <f>G10*E10</f>
        <v>53375</v>
      </c>
      <c r="J10" s="24">
        <v>52228</v>
      </c>
      <c r="K10" s="24">
        <f t="shared" ref="K10" si="8">J10*(1+$F10)</f>
        <v>53272.56</v>
      </c>
      <c r="L10" s="24">
        <f t="shared" ref="L10" si="9">K10*(1+$F10)</f>
        <v>54338.011200000001</v>
      </c>
      <c r="M10" s="24">
        <f t="shared" ref="M10" si="10">L10*(1+$F10)</f>
        <v>55424.771423999999</v>
      </c>
      <c r="N10" s="24">
        <f t="shared" ref="N10" si="11">M10*(1+$F10)</f>
        <v>56533.266852480003</v>
      </c>
      <c r="O10" s="24">
        <f t="shared" ref="O10:Q10" si="12">N10*(1+$F10)</f>
        <v>57663.932189529602</v>
      </c>
      <c r="P10" s="25">
        <f t="shared" si="12"/>
        <v>58817.210833320198</v>
      </c>
      <c r="Q10" s="9">
        <f t="shared" si="12"/>
        <v>59993.5550499866</v>
      </c>
      <c r="R10" s="1" t="s">
        <v>61</v>
      </c>
    </row>
    <row r="11" spans="1:18" x14ac:dyDescent="0.5">
      <c r="A11" s="47" t="s">
        <v>42</v>
      </c>
      <c r="B11" s="1">
        <v>103</v>
      </c>
      <c r="C11" s="11">
        <v>47299</v>
      </c>
      <c r="E11" s="2">
        <v>2951</v>
      </c>
      <c r="F11" s="7">
        <v>2.5000000000000001E-2</v>
      </c>
      <c r="G11" s="12">
        <v>25</v>
      </c>
      <c r="H11" s="24">
        <f t="shared" ref="H11:H17" si="13">G11*E11</f>
        <v>73775</v>
      </c>
      <c r="I11" s="36">
        <f>G11*E11</f>
        <v>73775</v>
      </c>
      <c r="J11" s="24">
        <v>72334</v>
      </c>
      <c r="K11" s="24">
        <v>77829</v>
      </c>
      <c r="L11" s="24">
        <v>77829</v>
      </c>
      <c r="M11" s="24">
        <v>77829</v>
      </c>
      <c r="N11" s="24">
        <v>77829</v>
      </c>
      <c r="O11" s="24">
        <v>77829</v>
      </c>
      <c r="P11" s="25">
        <v>84252</v>
      </c>
      <c r="Q11" s="25">
        <v>85937</v>
      </c>
    </row>
    <row r="12" spans="1:18" x14ac:dyDescent="0.5">
      <c r="A12" s="47" t="s">
        <v>83</v>
      </c>
      <c r="B12" s="1">
        <v>204</v>
      </c>
      <c r="C12" s="11">
        <v>47239</v>
      </c>
      <c r="E12" s="2">
        <v>2831</v>
      </c>
      <c r="F12" s="7">
        <v>0.03</v>
      </c>
      <c r="G12" s="12">
        <v>23</v>
      </c>
      <c r="H12" s="24"/>
      <c r="I12" s="36"/>
      <c r="J12" s="24">
        <f>G12*E12</f>
        <v>65113</v>
      </c>
      <c r="K12" s="24">
        <f>J12*(1+3%)</f>
        <v>67066.39</v>
      </c>
      <c r="L12" s="24">
        <f>K12*(103%)</f>
        <v>69078.381699999998</v>
      </c>
      <c r="M12" s="24">
        <f t="shared" ref="M12:Q12" si="14">L12*(103%)</f>
        <v>71150.733150999993</v>
      </c>
      <c r="N12" s="24">
        <f t="shared" si="14"/>
        <v>73285.255145529998</v>
      </c>
      <c r="O12" s="24">
        <f t="shared" si="14"/>
        <v>75483.812799895895</v>
      </c>
      <c r="P12" s="24">
        <f t="shared" si="14"/>
        <v>77748.327183892776</v>
      </c>
      <c r="Q12" s="24">
        <f t="shared" si="14"/>
        <v>80080.776999409558</v>
      </c>
    </row>
    <row r="13" spans="1:18" x14ac:dyDescent="0.5">
      <c r="A13" s="47"/>
      <c r="C13" s="11"/>
      <c r="F13" s="7"/>
      <c r="G13" s="12"/>
      <c r="H13" s="24"/>
      <c r="I13" s="36"/>
      <c r="J13" s="24"/>
      <c r="K13" s="24"/>
      <c r="L13" s="24"/>
      <c r="M13" s="24"/>
      <c r="N13" s="24"/>
      <c r="O13" s="24"/>
      <c r="P13" s="25"/>
      <c r="Q13" s="25"/>
    </row>
    <row r="14" spans="1:18" x14ac:dyDescent="0.5">
      <c r="A14" s="47"/>
      <c r="C14" s="11"/>
      <c r="F14" s="7"/>
      <c r="G14" s="12"/>
      <c r="H14" s="24"/>
      <c r="I14" s="36"/>
      <c r="J14" s="24"/>
      <c r="K14" s="24"/>
      <c r="L14" s="24"/>
      <c r="M14" s="24"/>
      <c r="N14" s="24"/>
      <c r="O14" s="24"/>
      <c r="P14" s="25"/>
      <c r="Q14" s="25"/>
    </row>
    <row r="15" spans="1:18" ht="22.85" customHeight="1" x14ac:dyDescent="0.5">
      <c r="A15" s="45" t="s">
        <v>82</v>
      </c>
      <c r="B15" s="1">
        <v>201</v>
      </c>
      <c r="C15" s="11"/>
      <c r="E15" s="2">
        <v>5210</v>
      </c>
      <c r="F15" s="7">
        <v>0.02</v>
      </c>
      <c r="G15" s="12">
        <f>I15/E15</f>
        <v>38.938963531669863</v>
      </c>
      <c r="H15" s="24">
        <f t="shared" si="13"/>
        <v>202872</v>
      </c>
      <c r="I15" s="36">
        <v>202872</v>
      </c>
      <c r="J15" s="24">
        <v>0</v>
      </c>
      <c r="K15" s="24">
        <f>J15*(1+$F15)</f>
        <v>0</v>
      </c>
      <c r="L15" s="24">
        <f t="shared" si="1"/>
        <v>0</v>
      </c>
      <c r="M15" s="24">
        <f t="shared" ref="M15" si="15">L15*(1+$F15)</f>
        <v>0</v>
      </c>
      <c r="N15" s="13">
        <f t="shared" ref="N15" si="16">M15*(1+$F15)</f>
        <v>0</v>
      </c>
      <c r="O15" s="13">
        <f t="shared" ref="O15" si="17">N15*(1+$F15)</f>
        <v>0</v>
      </c>
      <c r="P15" s="9">
        <f t="shared" ref="P15" si="18">O15*(1+$F15)</f>
        <v>0</v>
      </c>
      <c r="Q15" s="9">
        <f t="shared" ref="Q15" si="19">P15*(1+$F15)</f>
        <v>0</v>
      </c>
    </row>
    <row r="16" spans="1:18" x14ac:dyDescent="0.5">
      <c r="A16" s="45" t="s">
        <v>79</v>
      </c>
      <c r="B16" s="1">
        <v>301</v>
      </c>
      <c r="C16" s="11">
        <v>47299</v>
      </c>
      <c r="E16" s="2">
        <v>4978</v>
      </c>
      <c r="F16" s="7">
        <v>0</v>
      </c>
      <c r="G16" s="12">
        <f>I16/E16</f>
        <v>25.5</v>
      </c>
      <c r="H16" s="24">
        <f t="shared" si="13"/>
        <v>126939</v>
      </c>
      <c r="I16" s="36">
        <v>126939</v>
      </c>
      <c r="J16" s="24">
        <v>130361.4</v>
      </c>
      <c r="K16" s="24">
        <f t="shared" si="1"/>
        <v>130361.4</v>
      </c>
      <c r="L16" s="24">
        <f t="shared" si="1"/>
        <v>130361.4</v>
      </c>
      <c r="M16" s="24">
        <f>L16*103%</f>
        <v>134272.242</v>
      </c>
      <c r="N16" s="13">
        <f>M16</f>
        <v>134272.242</v>
      </c>
      <c r="O16" s="13">
        <f t="shared" ref="O16:Q16" si="20">N16</f>
        <v>134272.242</v>
      </c>
      <c r="P16" s="9">
        <f t="shared" si="20"/>
        <v>134272.242</v>
      </c>
      <c r="Q16" s="9">
        <f t="shared" si="20"/>
        <v>134272.242</v>
      </c>
      <c r="R16" s="12" t="s">
        <v>52</v>
      </c>
    </row>
    <row r="17" spans="1:18" ht="21" x14ac:dyDescent="0.8">
      <c r="A17" s="45" t="s">
        <v>64</v>
      </c>
      <c r="B17" s="1">
        <v>302</v>
      </c>
      <c r="C17" s="11">
        <v>47299</v>
      </c>
      <c r="E17" s="23">
        <v>3045</v>
      </c>
      <c r="F17" s="7">
        <v>0.02</v>
      </c>
      <c r="G17" s="12">
        <f>I17/E17</f>
        <v>24.867323481116586</v>
      </c>
      <c r="H17" s="26">
        <f t="shared" si="13"/>
        <v>75721</v>
      </c>
      <c r="I17" s="37">
        <v>75721</v>
      </c>
      <c r="J17" s="26">
        <v>76478.759999999995</v>
      </c>
      <c r="K17" s="26">
        <f t="shared" si="1"/>
        <v>78008.335200000001</v>
      </c>
      <c r="L17" s="26">
        <f t="shared" si="1"/>
        <v>79568.501904000004</v>
      </c>
      <c r="M17" s="26">
        <f t="shared" ref="M17" si="21">L17*(1+$F17)</f>
        <v>81159.871942080004</v>
      </c>
      <c r="N17" s="26">
        <f t="shared" ref="N17:O17" si="22">M17*(1+$F17)</f>
        <v>82783.069380921603</v>
      </c>
      <c r="O17" s="26">
        <f t="shared" si="22"/>
        <v>84438.73076854003</v>
      </c>
      <c r="P17" s="27">
        <f t="shared" ref="P17" si="23">O17*(1+$F17)</f>
        <v>86127.50538391083</v>
      </c>
      <c r="Q17" s="27">
        <f t="shared" ref="Q17" si="24">P17*(1+$F17)</f>
        <v>87850.055491589053</v>
      </c>
    </row>
    <row r="18" spans="1:18" x14ac:dyDescent="0.5">
      <c r="A18" s="45" t="s">
        <v>46</v>
      </c>
      <c r="E18" s="2">
        <f>SUM(E7:E17)</f>
        <v>26547</v>
      </c>
      <c r="G18" s="12"/>
      <c r="H18" s="14">
        <f>SUM(H7:H17)</f>
        <v>593490.34</v>
      </c>
      <c r="I18" s="38">
        <f>SUM(I7:I17)</f>
        <v>601641.93999999994</v>
      </c>
      <c r="J18" s="14">
        <f>SUM(J7:J17)</f>
        <v>467481.25820000004</v>
      </c>
      <c r="K18" s="14">
        <f>SUM(K7:K17)</f>
        <v>479570.126346</v>
      </c>
      <c r="L18" s="14">
        <f>SUM(L7:L17)</f>
        <v>486336.06918438006</v>
      </c>
      <c r="M18" s="14">
        <f t="shared" ref="M18:O18" si="25">SUM(M7:M17)</f>
        <v>497252.21612887131</v>
      </c>
      <c r="N18" s="14">
        <f t="shared" si="25"/>
        <v>504376.37971907674</v>
      </c>
      <c r="O18" s="14">
        <f t="shared" si="25"/>
        <v>511686.95128831512</v>
      </c>
      <c r="P18" s="14">
        <f t="shared" ref="P18" si="26">SUM(P7:P17)</f>
        <v>525611.97673738375</v>
      </c>
      <c r="Q18" s="14">
        <f t="shared" ref="Q18" si="27">SUM(Q7:Q17)</f>
        <v>534995.64241733297</v>
      </c>
    </row>
    <row r="19" spans="1:18" x14ac:dyDescent="0.5">
      <c r="A19" s="45" t="s">
        <v>11</v>
      </c>
      <c r="C19" s="1">
        <v>17</v>
      </c>
      <c r="H19" s="17">
        <f>C19*95*12</f>
        <v>19380</v>
      </c>
      <c r="I19" s="39">
        <f>H19</f>
        <v>19380</v>
      </c>
      <c r="J19" s="17">
        <f t="shared" ref="J19:L19" si="28">I19</f>
        <v>19380</v>
      </c>
      <c r="K19" s="17">
        <f t="shared" si="28"/>
        <v>19380</v>
      </c>
      <c r="L19" s="17">
        <f t="shared" si="28"/>
        <v>19380</v>
      </c>
      <c r="M19" s="21">
        <f>C19*110*12</f>
        <v>22440</v>
      </c>
      <c r="N19" s="21">
        <f>M19</f>
        <v>22440</v>
      </c>
      <c r="O19" s="21">
        <f>N19</f>
        <v>22440</v>
      </c>
      <c r="P19" s="21">
        <f t="shared" ref="P19:Q19" si="29">O19</f>
        <v>22440</v>
      </c>
      <c r="Q19" s="21">
        <f t="shared" si="29"/>
        <v>22440</v>
      </c>
      <c r="R19" s="1" t="s">
        <v>54</v>
      </c>
    </row>
    <row r="20" spans="1:18" x14ac:dyDescent="0.5">
      <c r="A20" s="45" t="s">
        <v>36</v>
      </c>
      <c r="F20" s="7"/>
      <c r="H20" s="14">
        <f t="shared" ref="H20:Q20" si="30">SUM(H18:H19)</f>
        <v>612870.34</v>
      </c>
      <c r="I20" s="38">
        <f t="shared" si="30"/>
        <v>621021.93999999994</v>
      </c>
      <c r="J20" s="14">
        <f t="shared" si="30"/>
        <v>486861.25820000004</v>
      </c>
      <c r="K20" s="14">
        <f t="shared" si="30"/>
        <v>498950.126346</v>
      </c>
      <c r="L20" s="14">
        <f t="shared" si="30"/>
        <v>505716.06918438006</v>
      </c>
      <c r="M20" s="14">
        <f t="shared" si="30"/>
        <v>519692.21612887131</v>
      </c>
      <c r="N20" s="14">
        <f t="shared" si="30"/>
        <v>526816.37971907668</v>
      </c>
      <c r="O20" s="14">
        <f t="shared" si="30"/>
        <v>534126.95128831512</v>
      </c>
      <c r="P20" s="14">
        <f t="shared" si="30"/>
        <v>548051.97673738375</v>
      </c>
      <c r="Q20" s="14">
        <f t="shared" si="30"/>
        <v>557435.64241733297</v>
      </c>
    </row>
    <row r="21" spans="1:18" x14ac:dyDescent="0.5">
      <c r="A21" s="48" t="s">
        <v>40</v>
      </c>
      <c r="F21" s="7"/>
      <c r="H21" s="7"/>
      <c r="I21" s="14"/>
      <c r="J21" s="14"/>
      <c r="K21" s="14"/>
      <c r="L21" s="14"/>
    </row>
    <row r="22" spans="1:18" x14ac:dyDescent="0.5">
      <c r="A22" s="45" t="s">
        <v>12</v>
      </c>
      <c r="F22" s="7">
        <v>0.04</v>
      </c>
      <c r="H22" s="13">
        <f>H20*$F22</f>
        <v>24514.813599999998</v>
      </c>
      <c r="I22" s="13">
        <f>I20*$F22</f>
        <v>24840.8776</v>
      </c>
      <c r="J22" s="13">
        <f>J20*$F22</f>
        <v>19474.450328000003</v>
      </c>
      <c r="K22" s="13">
        <f>K20*$F22</f>
        <v>19958.005053839999</v>
      </c>
      <c r="L22" s="13">
        <f>L20*$F22</f>
        <v>20228.642767375204</v>
      </c>
    </row>
    <row r="23" spans="1:18" x14ac:dyDescent="0.5">
      <c r="A23" s="45" t="s">
        <v>13</v>
      </c>
      <c r="F23" s="7">
        <v>0.02</v>
      </c>
      <c r="H23" s="13">
        <v>11322</v>
      </c>
      <c r="I23" s="13">
        <f t="shared" ref="I23:I39" si="31">H23*(1+$F23)</f>
        <v>11548.44</v>
      </c>
      <c r="J23" s="13">
        <f t="shared" ref="J23:L25" si="32">I23*(1+$F23)</f>
        <v>11779.408800000001</v>
      </c>
      <c r="K23" s="13">
        <f t="shared" si="32"/>
        <v>12014.996976000002</v>
      </c>
      <c r="L23" s="13">
        <f t="shared" si="32"/>
        <v>12255.296915520003</v>
      </c>
      <c r="O23" s="13">
        <f>I9</f>
        <v>66871.94</v>
      </c>
    </row>
    <row r="24" spans="1:18" x14ac:dyDescent="0.5">
      <c r="A24" s="45" t="s">
        <v>14</v>
      </c>
      <c r="F24" s="7">
        <v>0.02</v>
      </c>
      <c r="H24" s="13">
        <v>25961</v>
      </c>
      <c r="I24" s="13">
        <f t="shared" si="31"/>
        <v>26480.22</v>
      </c>
      <c r="J24" s="13">
        <f t="shared" si="32"/>
        <v>27009.824400000001</v>
      </c>
      <c r="K24" s="13">
        <f t="shared" si="32"/>
        <v>27550.020888000003</v>
      </c>
      <c r="L24" s="13">
        <f t="shared" si="32"/>
        <v>28101.021305760005</v>
      </c>
      <c r="O24" s="13">
        <f>I10</f>
        <v>53375</v>
      </c>
    </row>
    <row r="25" spans="1:18" x14ac:dyDescent="0.5">
      <c r="A25" s="45" t="s">
        <v>15</v>
      </c>
      <c r="F25" s="7">
        <v>0.02</v>
      </c>
      <c r="H25" s="13">
        <v>5807</v>
      </c>
      <c r="I25" s="13">
        <f t="shared" si="31"/>
        <v>5923.14</v>
      </c>
      <c r="J25" s="13">
        <f t="shared" si="32"/>
        <v>6041.6028000000006</v>
      </c>
      <c r="K25" s="13">
        <f t="shared" si="32"/>
        <v>6162.4348560000008</v>
      </c>
      <c r="L25" s="13">
        <f t="shared" si="32"/>
        <v>6285.6835531200013</v>
      </c>
      <c r="O25" s="13">
        <f>I11</f>
        <v>73775</v>
      </c>
    </row>
    <row r="26" spans="1:18" x14ac:dyDescent="0.5">
      <c r="A26" s="45" t="s">
        <v>16</v>
      </c>
      <c r="F26" s="7">
        <v>0.02</v>
      </c>
      <c r="H26" s="13">
        <v>10614</v>
      </c>
      <c r="I26" s="13">
        <f t="shared" si="31"/>
        <v>10826.28</v>
      </c>
      <c r="J26" s="13">
        <f t="shared" ref="J26:L26" si="33">I26*(1+$F26)</f>
        <v>11042.805600000002</v>
      </c>
      <c r="K26" s="13">
        <f t="shared" si="33"/>
        <v>11263.661712000001</v>
      </c>
      <c r="L26" s="13">
        <f t="shared" si="33"/>
        <v>11488.93494624</v>
      </c>
      <c r="O26" s="13">
        <f t="shared" ref="O26:O31" si="34">I15</f>
        <v>202872</v>
      </c>
    </row>
    <row r="27" spans="1:18" x14ac:dyDescent="0.5">
      <c r="A27" s="45" t="s">
        <v>17</v>
      </c>
      <c r="F27" s="7">
        <v>0.02</v>
      </c>
      <c r="H27" s="13">
        <v>1224</v>
      </c>
      <c r="I27" s="13">
        <f t="shared" si="31"/>
        <v>1248.48</v>
      </c>
      <c r="J27" s="13">
        <f t="shared" ref="J27:L27" si="35">I27*(1+$F27)</f>
        <v>1273.4496000000001</v>
      </c>
      <c r="K27" s="13">
        <f t="shared" si="35"/>
        <v>1298.9185920000002</v>
      </c>
      <c r="L27" s="13">
        <f t="shared" si="35"/>
        <v>1324.8969638400004</v>
      </c>
      <c r="O27" s="13">
        <f t="shared" si="34"/>
        <v>126939</v>
      </c>
    </row>
    <row r="28" spans="1:18" x14ac:dyDescent="0.5">
      <c r="A28" s="45" t="s">
        <v>18</v>
      </c>
      <c r="F28" s="7">
        <v>0.02</v>
      </c>
      <c r="H28" s="13">
        <v>5000</v>
      </c>
      <c r="I28" s="13">
        <f t="shared" si="31"/>
        <v>5100</v>
      </c>
      <c r="J28" s="13">
        <f t="shared" ref="J28:L28" si="36">I28*(1+$F28)</f>
        <v>5202</v>
      </c>
      <c r="K28" s="13">
        <f t="shared" si="36"/>
        <v>5306.04</v>
      </c>
      <c r="L28" s="13">
        <f t="shared" si="36"/>
        <v>5412.1607999999997</v>
      </c>
      <c r="O28" s="13">
        <f t="shared" si="34"/>
        <v>75721</v>
      </c>
    </row>
    <row r="29" spans="1:18" x14ac:dyDescent="0.5">
      <c r="A29" s="45" t="s">
        <v>19</v>
      </c>
      <c r="F29" s="7">
        <v>0.02</v>
      </c>
      <c r="H29" s="13">
        <v>729</v>
      </c>
      <c r="I29" s="13">
        <f t="shared" si="31"/>
        <v>743.58</v>
      </c>
      <c r="J29" s="13">
        <f t="shared" ref="J29:L29" si="37">I29*(1+$F29)</f>
        <v>758.4516000000001</v>
      </c>
      <c r="K29" s="13">
        <f t="shared" si="37"/>
        <v>773.62063200000011</v>
      </c>
      <c r="L29" s="13">
        <f t="shared" si="37"/>
        <v>789.09304464000013</v>
      </c>
      <c r="O29" s="13">
        <f t="shared" si="34"/>
        <v>601641.93999999994</v>
      </c>
    </row>
    <row r="30" spans="1:18" x14ac:dyDescent="0.5">
      <c r="A30" s="45" t="s">
        <v>20</v>
      </c>
      <c r="F30" s="7">
        <v>0.02</v>
      </c>
      <c r="H30" s="13">
        <v>145</v>
      </c>
      <c r="I30" s="13">
        <f t="shared" si="31"/>
        <v>147.9</v>
      </c>
      <c r="J30" s="13">
        <f t="shared" ref="J30:L30" si="38">I30*(1+$F30)</f>
        <v>150.858</v>
      </c>
      <c r="K30" s="13">
        <f t="shared" si="38"/>
        <v>153.87515999999999</v>
      </c>
      <c r="L30" s="13">
        <f t="shared" si="38"/>
        <v>156.95266319999999</v>
      </c>
      <c r="O30" s="13">
        <f t="shared" si="34"/>
        <v>19380</v>
      </c>
    </row>
    <row r="31" spans="1:18" x14ac:dyDescent="0.5">
      <c r="A31" s="45" t="s">
        <v>21</v>
      </c>
      <c r="F31" s="7">
        <v>0.02</v>
      </c>
      <c r="H31" s="13">
        <v>5073</v>
      </c>
      <c r="I31" s="13">
        <f t="shared" si="31"/>
        <v>5174.46</v>
      </c>
      <c r="J31" s="13">
        <f t="shared" ref="J31:L31" si="39">I31*(1+$F31)</f>
        <v>5277.9492</v>
      </c>
      <c r="K31" s="13">
        <f t="shared" si="39"/>
        <v>5383.5081840000003</v>
      </c>
      <c r="L31" s="13">
        <f t="shared" si="39"/>
        <v>5491.1783476800001</v>
      </c>
      <c r="O31" s="13">
        <f t="shared" si="34"/>
        <v>621021.93999999994</v>
      </c>
    </row>
    <row r="32" spans="1:18" x14ac:dyDescent="0.5">
      <c r="A32" s="45" t="s">
        <v>22</v>
      </c>
      <c r="F32" s="7">
        <v>0.02</v>
      </c>
      <c r="H32" s="13">
        <v>85</v>
      </c>
      <c r="I32" s="13">
        <f t="shared" si="31"/>
        <v>86.7</v>
      </c>
      <c r="J32" s="13">
        <f t="shared" ref="J32:L32" si="40">I32*(1+$F32)</f>
        <v>88.433999999999997</v>
      </c>
      <c r="K32" s="13">
        <f t="shared" si="40"/>
        <v>90.202680000000001</v>
      </c>
      <c r="L32" s="13">
        <f t="shared" si="40"/>
        <v>92.006733600000004</v>
      </c>
      <c r="O32" s="13"/>
    </row>
    <row r="33" spans="1:18" x14ac:dyDescent="0.5">
      <c r="A33" s="45" t="s">
        <v>23</v>
      </c>
      <c r="F33" s="7">
        <v>0.02</v>
      </c>
      <c r="H33" s="13">
        <v>3158</v>
      </c>
      <c r="I33" s="13">
        <f t="shared" si="31"/>
        <v>3221.16</v>
      </c>
      <c r="J33" s="13">
        <f t="shared" ref="J33:L33" si="41">I33*(1+$F33)</f>
        <v>3285.5832</v>
      </c>
      <c r="K33" s="13">
        <f t="shared" si="41"/>
        <v>3351.294864</v>
      </c>
      <c r="L33" s="13">
        <f t="shared" si="41"/>
        <v>3418.3207612800002</v>
      </c>
      <c r="N33" s="13"/>
    </row>
    <row r="34" spans="1:18" x14ac:dyDescent="0.5">
      <c r="A34" s="45" t="s">
        <v>24</v>
      </c>
      <c r="F34" s="7">
        <v>0.02</v>
      </c>
      <c r="H34" s="13">
        <v>803</v>
      </c>
      <c r="I34" s="13">
        <f t="shared" si="31"/>
        <v>819.06000000000006</v>
      </c>
      <c r="J34" s="13">
        <f t="shared" ref="J34:L34" si="42">I34*(1+$F34)</f>
        <v>835.44120000000009</v>
      </c>
      <c r="K34" s="13">
        <f t="shared" si="42"/>
        <v>852.15002400000014</v>
      </c>
      <c r="L34" s="13">
        <f t="shared" si="42"/>
        <v>869.19302448000019</v>
      </c>
      <c r="N34" s="13"/>
    </row>
    <row r="35" spans="1:18" x14ac:dyDescent="0.5">
      <c r="A35" s="45" t="s">
        <v>25</v>
      </c>
      <c r="F35" s="7">
        <v>0.02</v>
      </c>
      <c r="H35" s="13">
        <v>3500</v>
      </c>
      <c r="I35" s="13">
        <f t="shared" si="31"/>
        <v>3570</v>
      </c>
      <c r="J35" s="13">
        <f t="shared" ref="J35:L35" si="43">I35*(1+$F35)</f>
        <v>3641.4</v>
      </c>
      <c r="K35" s="13">
        <f t="shared" si="43"/>
        <v>3714.2280000000001</v>
      </c>
      <c r="L35" s="13">
        <f t="shared" si="43"/>
        <v>3788.5125600000001</v>
      </c>
      <c r="N35" s="12"/>
    </row>
    <row r="36" spans="1:18" x14ac:dyDescent="0.5">
      <c r="A36" s="45" t="s">
        <v>26</v>
      </c>
      <c r="F36" s="7">
        <v>0.02</v>
      </c>
      <c r="H36" s="13">
        <v>13029</v>
      </c>
      <c r="I36" s="13">
        <f t="shared" si="31"/>
        <v>13289.58</v>
      </c>
      <c r="J36" s="13">
        <f t="shared" ref="J36:L36" si="44">I36*(1+$F36)</f>
        <v>13555.3716</v>
      </c>
      <c r="K36" s="13">
        <f t="shared" si="44"/>
        <v>13826.479032000001</v>
      </c>
      <c r="L36" s="13">
        <f t="shared" si="44"/>
        <v>14103.008612640002</v>
      </c>
    </row>
    <row r="37" spans="1:18" x14ac:dyDescent="0.5">
      <c r="A37" s="45" t="s">
        <v>27</v>
      </c>
      <c r="F37" s="7">
        <v>0.02</v>
      </c>
      <c r="H37" s="13">
        <v>3165</v>
      </c>
      <c r="I37" s="13">
        <f t="shared" si="31"/>
        <v>3228.3</v>
      </c>
      <c r="J37" s="13">
        <f t="shared" ref="J37:L37" si="45">I37*(1+$F37)</f>
        <v>3292.8660000000004</v>
      </c>
      <c r="K37" s="13">
        <f t="shared" si="45"/>
        <v>3358.7233200000005</v>
      </c>
      <c r="L37" s="13">
        <f t="shared" si="45"/>
        <v>3425.8977864000008</v>
      </c>
    </row>
    <row r="38" spans="1:18" x14ac:dyDescent="0.5">
      <c r="A38" s="45" t="s">
        <v>28</v>
      </c>
      <c r="F38" s="7">
        <v>0.02</v>
      </c>
      <c r="H38" s="13">
        <v>6052</v>
      </c>
      <c r="I38" s="13">
        <f t="shared" si="31"/>
        <v>6173.04</v>
      </c>
      <c r="J38" s="13">
        <f t="shared" ref="J38:L38" si="46">I38*(1+$F38)</f>
        <v>6296.5007999999998</v>
      </c>
      <c r="K38" s="13">
        <f t="shared" si="46"/>
        <v>6422.430816</v>
      </c>
      <c r="L38" s="13">
        <f t="shared" si="46"/>
        <v>6550.87943232</v>
      </c>
    </row>
    <row r="39" spans="1:18" x14ac:dyDescent="0.5">
      <c r="A39" s="45" t="s">
        <v>29</v>
      </c>
      <c r="F39" s="7">
        <v>0.02</v>
      </c>
      <c r="H39" s="13">
        <v>7580</v>
      </c>
      <c r="I39" s="13">
        <f t="shared" si="31"/>
        <v>7731.6</v>
      </c>
      <c r="J39" s="13">
        <f t="shared" ref="J39:L39" si="47">I39*(1+$F39)</f>
        <v>7886.2320000000009</v>
      </c>
      <c r="K39" s="13">
        <f t="shared" si="47"/>
        <v>8043.9566400000012</v>
      </c>
      <c r="L39" s="13">
        <f t="shared" si="47"/>
        <v>8204.835772800001</v>
      </c>
    </row>
    <row r="40" spans="1:18" x14ac:dyDescent="0.5">
      <c r="A40" s="45" t="s">
        <v>30</v>
      </c>
      <c r="D40" s="13"/>
      <c r="F40" s="7">
        <v>0.02</v>
      </c>
      <c r="H40" s="13">
        <v>77109</v>
      </c>
      <c r="I40" s="13">
        <v>79457</v>
      </c>
      <c r="J40" s="13">
        <v>87683</v>
      </c>
      <c r="K40" s="13">
        <f t="shared" ref="K40:L40" si="48">J40*(1+$F40)</f>
        <v>89436.66</v>
      </c>
      <c r="L40" s="13">
        <f t="shared" si="48"/>
        <v>91225.393200000006</v>
      </c>
    </row>
    <row r="41" spans="1:18" x14ac:dyDescent="0.5">
      <c r="A41" s="45" t="s">
        <v>31</v>
      </c>
      <c r="F41" s="7">
        <v>0.02</v>
      </c>
      <c r="H41" s="17">
        <v>11880</v>
      </c>
      <c r="I41" s="17">
        <v>11880</v>
      </c>
      <c r="J41" s="17">
        <v>11880</v>
      </c>
      <c r="K41" s="17">
        <v>11880</v>
      </c>
      <c r="L41" s="17">
        <v>11880</v>
      </c>
    </row>
    <row r="42" spans="1:18" x14ac:dyDescent="0.5">
      <c r="A42" s="45" t="s">
        <v>32</v>
      </c>
      <c r="H42" s="17">
        <f>SUM(H22:H41)</f>
        <v>216750.81359999999</v>
      </c>
      <c r="I42" s="17">
        <f t="shared" ref="I42:L42" si="49">SUM(I22:I41)</f>
        <v>221489.81760000001</v>
      </c>
      <c r="J42" s="17">
        <f t="shared" si="49"/>
        <v>226455.629128</v>
      </c>
      <c r="K42" s="17">
        <f t="shared" si="49"/>
        <v>230841.20742984005</v>
      </c>
      <c r="L42" s="17">
        <f t="shared" si="49"/>
        <v>235091.90919089527</v>
      </c>
      <c r="M42" s="17">
        <f>L42*102%</f>
        <v>239793.74737471319</v>
      </c>
      <c r="N42" s="17">
        <f t="shared" ref="N42:Q42" si="50">M42*102%</f>
        <v>244589.62232220746</v>
      </c>
      <c r="O42" s="17">
        <f t="shared" si="50"/>
        <v>249481.41476865162</v>
      </c>
      <c r="P42" s="17">
        <f t="shared" si="50"/>
        <v>254471.04306402465</v>
      </c>
      <c r="Q42" s="17">
        <f t="shared" si="50"/>
        <v>259560.46392530514</v>
      </c>
      <c r="R42" s="1" t="s">
        <v>53</v>
      </c>
    </row>
    <row r="43" spans="1:18" x14ac:dyDescent="0.5">
      <c r="A43" s="45" t="s">
        <v>33</v>
      </c>
      <c r="H43" s="14">
        <f t="shared" ref="H43:Q43" si="51">H20-H42</f>
        <v>396119.52639999997</v>
      </c>
      <c r="I43" s="13">
        <f t="shared" si="51"/>
        <v>399532.12239999993</v>
      </c>
      <c r="J43" s="13">
        <f t="shared" si="51"/>
        <v>260405.62907200004</v>
      </c>
      <c r="K43" s="13">
        <f t="shared" si="51"/>
        <v>268108.91891615995</v>
      </c>
      <c r="L43" s="13">
        <f t="shared" si="51"/>
        <v>270624.15999348479</v>
      </c>
      <c r="M43" s="13">
        <f t="shared" si="51"/>
        <v>279898.46875415812</v>
      </c>
      <c r="N43" s="13">
        <f t="shared" si="51"/>
        <v>282226.75739686924</v>
      </c>
      <c r="O43" s="13">
        <f t="shared" si="51"/>
        <v>284645.53651966352</v>
      </c>
      <c r="P43" s="13">
        <f t="shared" si="51"/>
        <v>293580.9336733591</v>
      </c>
      <c r="Q43" s="13">
        <f t="shared" si="51"/>
        <v>297875.1784920278</v>
      </c>
    </row>
    <row r="44" spans="1:18" x14ac:dyDescent="0.5">
      <c r="G44" s="1" t="s">
        <v>74</v>
      </c>
      <c r="H44" s="28"/>
      <c r="I44" s="9">
        <v>5900000</v>
      </c>
      <c r="J44" s="9">
        <v>5590000</v>
      </c>
      <c r="K44" s="9">
        <v>5590000</v>
      </c>
      <c r="L44" s="9">
        <v>5590000</v>
      </c>
      <c r="M44" s="9">
        <v>5590000</v>
      </c>
      <c r="N44" s="9">
        <v>5590000</v>
      </c>
      <c r="O44" s="9">
        <v>5590000</v>
      </c>
      <c r="P44" s="9">
        <v>5590000</v>
      </c>
      <c r="Q44" s="9">
        <v>5590000</v>
      </c>
    </row>
    <row r="45" spans="1:18" hidden="1" x14ac:dyDescent="0.5">
      <c r="C45" s="1" t="s">
        <v>60</v>
      </c>
      <c r="H45" s="20">
        <v>6.5000000000000002E-2</v>
      </c>
      <c r="I45" s="20">
        <v>6.5000000000000002E-2</v>
      </c>
      <c r="J45" s="20">
        <f>I45</f>
        <v>6.5000000000000002E-2</v>
      </c>
      <c r="K45" s="20">
        <f t="shared" ref="K45:Q45" si="52">J45</f>
        <v>6.5000000000000002E-2</v>
      </c>
      <c r="L45" s="20">
        <f t="shared" si="52"/>
        <v>6.5000000000000002E-2</v>
      </c>
      <c r="M45" s="20">
        <f t="shared" si="52"/>
        <v>6.5000000000000002E-2</v>
      </c>
      <c r="N45" s="20">
        <f t="shared" si="52"/>
        <v>6.5000000000000002E-2</v>
      </c>
      <c r="O45" s="20">
        <f t="shared" si="52"/>
        <v>6.5000000000000002E-2</v>
      </c>
      <c r="P45" s="20">
        <f t="shared" si="52"/>
        <v>6.5000000000000002E-2</v>
      </c>
      <c r="Q45" s="20">
        <f t="shared" si="52"/>
        <v>6.5000000000000002E-2</v>
      </c>
    </row>
    <row r="46" spans="1:18" hidden="1" x14ac:dyDescent="0.5">
      <c r="F46" s="15" t="s">
        <v>59</v>
      </c>
      <c r="H46" s="22">
        <f>H43/H45</f>
        <v>6094146.5599999996</v>
      </c>
      <c r="I46" s="22">
        <f t="shared" ref="I46:Q46" si="53">I43/I45</f>
        <v>6146648.036923076</v>
      </c>
      <c r="J46" s="22">
        <f t="shared" si="53"/>
        <v>4006240.4472615388</v>
      </c>
      <c r="K46" s="22">
        <f t="shared" si="53"/>
        <v>4124752.5987101528</v>
      </c>
      <c r="L46" s="22">
        <f t="shared" si="53"/>
        <v>4163448.6152843814</v>
      </c>
      <c r="M46" s="22">
        <f t="shared" si="53"/>
        <v>4306130.2885255096</v>
      </c>
      <c r="N46" s="22">
        <f t="shared" si="53"/>
        <v>4341950.1137979878</v>
      </c>
      <c r="O46" s="22">
        <f t="shared" si="53"/>
        <v>4379162.1003025156</v>
      </c>
      <c r="P46" s="22">
        <f t="shared" si="53"/>
        <v>4516629.7488209093</v>
      </c>
      <c r="Q46" s="22">
        <f t="shared" si="53"/>
        <v>4582695.0537235048</v>
      </c>
    </row>
    <row r="47" spans="1:18" x14ac:dyDescent="0.5">
      <c r="G47" s="1" t="s">
        <v>75</v>
      </c>
      <c r="H47" s="18"/>
      <c r="I47" s="42">
        <f>I43/I44</f>
        <v>6.7717308881355923E-2</v>
      </c>
      <c r="J47" s="42">
        <f t="shared" ref="J47:Q47" si="54">J43/J44</f>
        <v>4.6584191247227201E-2</v>
      </c>
      <c r="K47" s="42">
        <f t="shared" si="54"/>
        <v>4.7962239519885499E-2</v>
      </c>
      <c r="L47" s="42">
        <f t="shared" si="54"/>
        <v>4.8412193200981182E-2</v>
      </c>
      <c r="M47" s="42">
        <f t="shared" si="54"/>
        <v>5.007128242471523E-2</v>
      </c>
      <c r="N47" s="42">
        <f t="shared" si="54"/>
        <v>5.0487792020906842E-2</v>
      </c>
      <c r="O47" s="42">
        <f t="shared" si="54"/>
        <v>5.0920489538401344E-2</v>
      </c>
      <c r="P47" s="42">
        <f t="shared" si="54"/>
        <v>5.2518950567684991E-2</v>
      </c>
      <c r="Q47" s="42">
        <f t="shared" si="54"/>
        <v>5.3287151787482612E-2</v>
      </c>
    </row>
    <row r="48" spans="1:18" x14ac:dyDescent="0.5">
      <c r="H48" s="18"/>
      <c r="I48" s="42"/>
      <c r="J48" s="13"/>
      <c r="K48" s="13"/>
      <c r="L48" s="13"/>
    </row>
    <row r="49" spans="1:18" x14ac:dyDescent="0.5">
      <c r="A49" s="49" t="s">
        <v>37</v>
      </c>
      <c r="B49" s="1" t="s">
        <v>39</v>
      </c>
      <c r="H49" s="13"/>
      <c r="I49" s="13"/>
      <c r="J49" s="13"/>
      <c r="K49" s="13"/>
      <c r="L49" s="13"/>
    </row>
    <row r="51" spans="1:18" x14ac:dyDescent="0.5">
      <c r="A51" s="45" t="s">
        <v>62</v>
      </c>
      <c r="B51" s="1" t="s">
        <v>77</v>
      </c>
    </row>
    <row r="52" spans="1:18" hidden="1" x14ac:dyDescent="0.5">
      <c r="C52" s="9"/>
      <c r="G52" s="41" t="s">
        <v>73</v>
      </c>
    </row>
    <row r="53" spans="1:18" hidden="1" x14ac:dyDescent="0.5">
      <c r="C53" s="16"/>
      <c r="D53" s="1" t="s">
        <v>72</v>
      </c>
      <c r="G53" s="40">
        <f>E18</f>
        <v>26547</v>
      </c>
      <c r="I53" s="8">
        <f>I42/$G$53</f>
        <v>8.3433087580517569</v>
      </c>
      <c r="J53" s="8">
        <f>J42/$G$53</f>
        <v>8.5303661102196102</v>
      </c>
      <c r="K53" s="8">
        <f t="shared" ref="K53:Q53" si="55">K42/$G$53</f>
        <v>8.6955666338885766</v>
      </c>
      <c r="L53" s="8">
        <f t="shared" si="55"/>
        <v>8.8556864877724522</v>
      </c>
      <c r="M53" s="8">
        <f t="shared" si="55"/>
        <v>9.0328002175279014</v>
      </c>
      <c r="N53" s="8">
        <f t="shared" si="55"/>
        <v>9.2134562218784595</v>
      </c>
      <c r="O53" s="8">
        <f t="shared" si="55"/>
        <v>9.3977253463160295</v>
      </c>
      <c r="P53" s="8">
        <f t="shared" si="55"/>
        <v>9.5856798532423486</v>
      </c>
      <c r="Q53" s="8">
        <f t="shared" si="55"/>
        <v>9.777393450307196</v>
      </c>
      <c r="R53" s="8"/>
    </row>
    <row r="54" spans="1:18" hidden="1" x14ac:dyDescent="0.5">
      <c r="A54" s="45" t="s">
        <v>65</v>
      </c>
      <c r="C54" s="8"/>
    </row>
    <row r="55" spans="1:18" x14ac:dyDescent="0.5">
      <c r="A55" s="45" t="s">
        <v>76</v>
      </c>
      <c r="B55" s="1" t="s">
        <v>63</v>
      </c>
    </row>
  </sheetData>
  <phoneticPr fontId="9" type="noConversion"/>
  <printOptions horizontalCentered="1" gridLines="1"/>
  <pageMargins left="0.7" right="0.7" top="0.75" bottom="0.75" header="0.3" footer="0.3"/>
  <pageSetup scale="50" orientation="landscape" r:id="rId1"/>
  <headerFooter>
    <oddFooter>&amp;L&amp;F&amp;R&amp;D&amp;T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54801-FE74-4079-8AB5-CB07BEAA6129}">
  <sheetPr>
    <pageSetUpPr fitToPage="1"/>
  </sheetPr>
  <dimension ref="A1:I46"/>
  <sheetViews>
    <sheetView topLeftCell="A5" zoomScale="86" zoomScaleNormal="86" workbookViewId="0">
      <selection activeCell="B16" sqref="B16"/>
    </sheetView>
  </sheetViews>
  <sheetFormatPr defaultRowHeight="14.6" x14ac:dyDescent="0.4"/>
  <cols>
    <col min="1" max="1" width="37.4609375" customWidth="1"/>
    <col min="2" max="2" width="14.84375" style="30" customWidth="1"/>
    <col min="3" max="12" width="14.84375" customWidth="1"/>
  </cols>
  <sheetData>
    <row r="1" spans="1:9" x14ac:dyDescent="0.4">
      <c r="A1" s="50" t="s">
        <v>67</v>
      </c>
    </row>
    <row r="2" spans="1:9" x14ac:dyDescent="0.4">
      <c r="A2" s="50" t="s">
        <v>68</v>
      </c>
    </row>
    <row r="3" spans="1:9" x14ac:dyDescent="0.4">
      <c r="A3" s="51">
        <v>44612</v>
      </c>
    </row>
    <row r="4" spans="1:9" ht="33" x14ac:dyDescent="0.4">
      <c r="A4" s="52"/>
      <c r="E4" s="63" t="s">
        <v>81</v>
      </c>
      <c r="F4" s="58">
        <v>102</v>
      </c>
      <c r="G4" s="91">
        <v>45930</v>
      </c>
      <c r="H4" s="58"/>
      <c r="I4" s="58">
        <v>2705</v>
      </c>
    </row>
    <row r="5" spans="1:9" x14ac:dyDescent="0.4">
      <c r="A5" s="52"/>
      <c r="E5" s="63" t="s">
        <v>41</v>
      </c>
      <c r="F5" s="58">
        <v>101</v>
      </c>
      <c r="G5" s="91">
        <v>45595</v>
      </c>
      <c r="H5" s="58"/>
      <c r="I5" s="58">
        <v>2135</v>
      </c>
    </row>
    <row r="6" spans="1:9" ht="22.3" x14ac:dyDescent="0.4">
      <c r="E6" s="66" t="s">
        <v>42</v>
      </c>
      <c r="F6" s="58">
        <v>103</v>
      </c>
      <c r="G6" s="91">
        <v>47299</v>
      </c>
      <c r="H6" s="58"/>
      <c r="I6" s="58">
        <v>2951</v>
      </c>
    </row>
    <row r="7" spans="1:9" x14ac:dyDescent="0.4">
      <c r="A7" t="s">
        <v>66</v>
      </c>
      <c r="B7" s="30">
        <f>'detail 301 blount'!E8</f>
        <v>176</v>
      </c>
      <c r="E7" s="66" t="s">
        <v>83</v>
      </c>
      <c r="F7" s="58">
        <v>204</v>
      </c>
      <c r="G7" s="91">
        <v>47239</v>
      </c>
      <c r="H7" s="58"/>
      <c r="I7" s="58">
        <v>2831</v>
      </c>
    </row>
    <row r="8" spans="1:9" x14ac:dyDescent="0.4">
      <c r="A8" s="53" t="str">
        <f>'detail 301 blount'!A9</f>
        <v>Tergar spaces 102&amp;104 plus basement</v>
      </c>
      <c r="B8" s="30">
        <f>'detail 301 blount'!E9</f>
        <v>2705</v>
      </c>
      <c r="C8" s="54">
        <f>'detail 301 blount'!I9</f>
        <v>66871.94</v>
      </c>
      <c r="E8" t="s">
        <v>98</v>
      </c>
      <c r="I8" s="58">
        <v>5210</v>
      </c>
    </row>
    <row r="9" spans="1:9" x14ac:dyDescent="0.4">
      <c r="A9" s="53" t="str">
        <f>'detail 301 blount'!A10</f>
        <v>Ring and DuChateau</v>
      </c>
      <c r="B9" s="30">
        <f>'detail 301 blount'!E10</f>
        <v>2135</v>
      </c>
      <c r="C9" s="54">
        <f>'detail 301 blount'!I10</f>
        <v>53375</v>
      </c>
      <c r="E9" s="56"/>
      <c r="F9" s="71"/>
      <c r="G9" s="91"/>
      <c r="H9" s="71"/>
      <c r="I9" s="58"/>
    </row>
    <row r="10" spans="1:9" x14ac:dyDescent="0.4">
      <c r="A10" s="53" t="str">
        <f>'detail 301 blount'!A11</f>
        <v>Synergos Counseling, LLC</v>
      </c>
      <c r="B10" s="30">
        <f>'detail 301 blount'!E11</f>
        <v>2951</v>
      </c>
      <c r="C10" s="54">
        <f>'detail 301 blount'!I11</f>
        <v>73775</v>
      </c>
      <c r="E10" s="63" t="s">
        <v>79</v>
      </c>
      <c r="F10" s="71">
        <v>301</v>
      </c>
      <c r="G10" s="91">
        <v>47299</v>
      </c>
      <c r="H10" s="71"/>
      <c r="I10" s="71">
        <v>4978</v>
      </c>
    </row>
    <row r="11" spans="1:9" x14ac:dyDescent="0.4">
      <c r="A11" s="53" t="str">
        <f>'detail 301 blount'!A15</f>
        <v>remaining indeaver</v>
      </c>
      <c r="B11" s="30">
        <f>'detail 301 blount'!E15</f>
        <v>5210</v>
      </c>
      <c r="C11" s="54">
        <f>'detail 301 blount'!I15</f>
        <v>202872</v>
      </c>
      <c r="E11" s="63" t="s">
        <v>64</v>
      </c>
      <c r="F11" s="71">
        <v>302</v>
      </c>
      <c r="G11" s="91">
        <v>47299</v>
      </c>
      <c r="H11" s="71"/>
      <c r="I11" s="71">
        <v>3045</v>
      </c>
    </row>
    <row r="12" spans="1:9" x14ac:dyDescent="0.4">
      <c r="A12" s="53" t="s">
        <v>100</v>
      </c>
      <c r="B12" s="30">
        <v>2831</v>
      </c>
      <c r="C12" s="54"/>
      <c r="E12" s="63"/>
      <c r="F12" s="71"/>
      <c r="G12" s="91"/>
      <c r="H12" s="71"/>
      <c r="I12" s="71"/>
    </row>
    <row r="13" spans="1:9" x14ac:dyDescent="0.4">
      <c r="A13" s="53" t="str">
        <f>'detail 301 blount'!A16</f>
        <v>Synergos</v>
      </c>
      <c r="B13" s="30">
        <f>'detail 301 blount'!E16</f>
        <v>4978</v>
      </c>
      <c r="C13" s="54">
        <f>'detail 301 blount'!I16</f>
        <v>126939</v>
      </c>
    </row>
    <row r="14" spans="1:9" x14ac:dyDescent="0.4">
      <c r="A14" s="53" t="str">
        <f>'detail 301 blount'!A17</f>
        <v>synergos</v>
      </c>
      <c r="B14" s="30">
        <f>'detail 301 blount'!E17</f>
        <v>3045</v>
      </c>
      <c r="C14" s="29">
        <f>'detail 301 blount'!I17</f>
        <v>75721</v>
      </c>
      <c r="D14" s="54"/>
    </row>
    <row r="15" spans="1:9" x14ac:dyDescent="0.4">
      <c r="A15" s="53"/>
      <c r="C15" s="29"/>
      <c r="D15" s="54"/>
    </row>
    <row r="16" spans="1:9" x14ac:dyDescent="0.4">
      <c r="A16" s="53" t="str">
        <f>'detail 301 blount'!A18</f>
        <v>Subtotal Rent</v>
      </c>
      <c r="B16" s="30">
        <f>SUM(B8:B14)</f>
        <v>23855</v>
      </c>
      <c r="C16" s="54">
        <f>'detail 301 blount'!I18</f>
        <v>601641.93999999994</v>
      </c>
      <c r="E16" s="63" t="s">
        <v>46</v>
      </c>
      <c r="F16" s="71"/>
      <c r="G16" s="91"/>
      <c r="H16" s="71"/>
      <c r="I16" s="71">
        <f>SUM(I2:I11)</f>
        <v>23855</v>
      </c>
    </row>
    <row r="17" spans="1:9" x14ac:dyDescent="0.4">
      <c r="A17" s="53"/>
      <c r="C17" s="54"/>
      <c r="E17" s="63"/>
      <c r="F17" s="71"/>
      <c r="G17" s="91"/>
      <c r="H17" s="71"/>
      <c r="I17" s="71"/>
    </row>
    <row r="18" spans="1:9" x14ac:dyDescent="0.4">
      <c r="A18" s="99" t="s">
        <v>99</v>
      </c>
      <c r="C18" s="29">
        <f>'detail 301 blount'!I19</f>
        <v>19380</v>
      </c>
    </row>
    <row r="19" spans="1:9" x14ac:dyDescent="0.4">
      <c r="A19" s="53" t="str">
        <f>'detail 301 blount'!A20</f>
        <v>Gross collectable income</v>
      </c>
      <c r="C19" s="54">
        <f>'detail 301 blount'!I20</f>
        <v>621021.93999999994</v>
      </c>
    </row>
    <row r="20" spans="1:9" x14ac:dyDescent="0.4">
      <c r="A20" s="53" t="s">
        <v>69</v>
      </c>
      <c r="B20" s="31">
        <v>0.03</v>
      </c>
      <c r="C20" s="54">
        <f>-C19*B20</f>
        <v>-18630.658199999998</v>
      </c>
    </row>
    <row r="21" spans="1:9" x14ac:dyDescent="0.4">
      <c r="A21" s="53" t="s">
        <v>70</v>
      </c>
      <c r="C21" s="54">
        <f>SUM(C19:C20)</f>
        <v>602391.2818</v>
      </c>
    </row>
    <row r="22" spans="1:9" x14ac:dyDescent="0.4">
      <c r="A22" s="53"/>
    </row>
    <row r="23" spans="1:9" x14ac:dyDescent="0.4">
      <c r="A23" s="55" t="str">
        <f>'detail 301 blount'!A21</f>
        <v>Operating Expenses</v>
      </c>
    </row>
    <row r="24" spans="1:9" x14ac:dyDescent="0.4">
      <c r="A24" s="53" t="str">
        <f>'detail 301 blount'!A22</f>
        <v>management fees</v>
      </c>
      <c r="B24" s="31">
        <v>0.04</v>
      </c>
      <c r="C24" s="32">
        <f>C19*B24</f>
        <v>24840.8776</v>
      </c>
    </row>
    <row r="25" spans="1:9" x14ac:dyDescent="0.4">
      <c r="A25" s="53" t="str">
        <f>'detail 301 blount'!A23</f>
        <v>gas</v>
      </c>
      <c r="C25" s="54">
        <f>'detail 301 blount'!H23</f>
        <v>11322</v>
      </c>
    </row>
    <row r="26" spans="1:9" x14ac:dyDescent="0.4">
      <c r="A26" s="53" t="str">
        <f>'detail 301 blount'!A24</f>
        <v>electricity</v>
      </c>
      <c r="C26" s="54">
        <f>'detail 301 blount'!H24</f>
        <v>25961</v>
      </c>
    </row>
    <row r="27" spans="1:9" x14ac:dyDescent="0.4">
      <c r="A27" s="53" t="str">
        <f>'detail 301 blount'!A25</f>
        <v>water sewer</v>
      </c>
      <c r="C27" s="54">
        <f>'detail 301 blount'!H25</f>
        <v>5807</v>
      </c>
    </row>
    <row r="28" spans="1:9" x14ac:dyDescent="0.4">
      <c r="A28" s="53" t="str">
        <f>'detail 301 blount'!A26</f>
        <v>general repair</v>
      </c>
      <c r="C28" s="54">
        <f>'detail 301 blount'!H26</f>
        <v>10614</v>
      </c>
    </row>
    <row r="29" spans="1:9" x14ac:dyDescent="0.4">
      <c r="A29" s="53" t="str">
        <f>'detail 301 blount'!A27</f>
        <v>plumbing</v>
      </c>
      <c r="C29" s="54">
        <f>'detail 301 blount'!H27</f>
        <v>1224</v>
      </c>
    </row>
    <row r="30" spans="1:9" x14ac:dyDescent="0.4">
      <c r="A30" s="53" t="str">
        <f>'detail 301 blount'!A28</f>
        <v>hvac</v>
      </c>
      <c r="C30" s="54">
        <f>'detail 301 blount'!H28</f>
        <v>5000</v>
      </c>
    </row>
    <row r="31" spans="1:9" x14ac:dyDescent="0.4">
      <c r="A31" s="53" t="str">
        <f>'detail 301 blount'!A29</f>
        <v>electircl repair</v>
      </c>
      <c r="C31" s="54">
        <f>'detail 301 blount'!H29</f>
        <v>729</v>
      </c>
    </row>
    <row r="32" spans="1:9" x14ac:dyDescent="0.4">
      <c r="A32" s="53" t="str">
        <f>'detail 301 blount'!A30</f>
        <v>painting</v>
      </c>
      <c r="C32" s="54">
        <f>'detail 301 blount'!H30</f>
        <v>145</v>
      </c>
    </row>
    <row r="33" spans="1:3" x14ac:dyDescent="0.4">
      <c r="A33" s="53" t="str">
        <f>'detail 301 blount'!A31</f>
        <v>fire and security</v>
      </c>
      <c r="C33" s="54">
        <f>'detail 301 blount'!H31</f>
        <v>5073</v>
      </c>
    </row>
    <row r="34" spans="1:3" x14ac:dyDescent="0.4">
      <c r="A34" s="53" t="str">
        <f>'detail 301 blount'!A32</f>
        <v>signager</v>
      </c>
      <c r="C34" s="54">
        <f>'detail 301 blount'!H32</f>
        <v>85</v>
      </c>
    </row>
    <row r="35" spans="1:3" x14ac:dyDescent="0.4">
      <c r="A35" s="53" t="str">
        <f>'detail 301 blount'!A33</f>
        <v>elevator</v>
      </c>
      <c r="C35" s="54">
        <f>'detail 301 blount'!H33</f>
        <v>3158</v>
      </c>
    </row>
    <row r="36" spans="1:3" x14ac:dyDescent="0.4">
      <c r="A36" s="53" t="str">
        <f>'detail 301 blount'!A34</f>
        <v>ground maint</v>
      </c>
      <c r="C36" s="54">
        <f>'detail 301 blount'!H34</f>
        <v>803</v>
      </c>
    </row>
    <row r="37" spans="1:3" x14ac:dyDescent="0.4">
      <c r="A37" s="53" t="str">
        <f>'detail 301 blount'!A35</f>
        <v>grounds maint contract</v>
      </c>
      <c r="C37" s="54">
        <f>'detail 301 blount'!H35</f>
        <v>3500</v>
      </c>
    </row>
    <row r="38" spans="1:3" x14ac:dyDescent="0.4">
      <c r="A38" s="53" t="str">
        <f>'detail 301 blount'!A36</f>
        <v>cleaning service</v>
      </c>
      <c r="C38" s="54">
        <f>'detail 301 blount'!H36</f>
        <v>13029</v>
      </c>
    </row>
    <row r="39" spans="1:3" x14ac:dyDescent="0.4">
      <c r="A39" s="53" t="str">
        <f>'detail 301 blount'!A37</f>
        <v>cleaning supplies</v>
      </c>
      <c r="C39" s="54">
        <f>'detail 301 blount'!H37</f>
        <v>3165</v>
      </c>
    </row>
    <row r="40" spans="1:3" x14ac:dyDescent="0.4">
      <c r="A40" s="53" t="str">
        <f>'detail 301 blount'!A38</f>
        <v>trash removal</v>
      </c>
      <c r="C40" s="54">
        <f>'detail 301 blount'!H38</f>
        <v>6052</v>
      </c>
    </row>
    <row r="41" spans="1:3" x14ac:dyDescent="0.4">
      <c r="A41" s="53" t="str">
        <f>'detail 301 blount'!A39</f>
        <v xml:space="preserve">insurance property liability </v>
      </c>
      <c r="C41" s="54">
        <f>'detail 301 blount'!H39</f>
        <v>7580</v>
      </c>
    </row>
    <row r="42" spans="1:3" x14ac:dyDescent="0.4">
      <c r="A42" s="53" t="str">
        <f>'detail 301 blount'!A40</f>
        <v>taxes real estate</v>
      </c>
      <c r="C42" s="54">
        <f>'detail 301 blount'!H40</f>
        <v>77109</v>
      </c>
    </row>
    <row r="43" spans="1:3" x14ac:dyDescent="0.4">
      <c r="A43" s="53" t="str">
        <f>'detail 301 blount'!A41</f>
        <v>taxes mall maintenance/encroachment</v>
      </c>
      <c r="C43" s="29">
        <f>'detail 301 blount'!H41</f>
        <v>11880</v>
      </c>
    </row>
    <row r="44" spans="1:3" x14ac:dyDescent="0.4">
      <c r="A44" s="53" t="str">
        <f>'detail 301 blount'!A42</f>
        <v>total expenses</v>
      </c>
      <c r="C44" s="32">
        <f>SUM(C24:C43)</f>
        <v>217076.87760000001</v>
      </c>
    </row>
    <row r="46" spans="1:3" x14ac:dyDescent="0.4">
      <c r="A46" t="s">
        <v>71</v>
      </c>
      <c r="C46" s="54">
        <f>C21-C44</f>
        <v>385314.40419999999</v>
      </c>
    </row>
  </sheetData>
  <printOptions horizontalCentered="1"/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17969-23AE-4F38-B6C3-AFAD30D94576}">
  <sheetPr>
    <pageSetUpPr fitToPage="1"/>
  </sheetPr>
  <dimension ref="A1:U54"/>
  <sheetViews>
    <sheetView tabSelected="1" topLeftCell="B6" zoomScale="133" zoomScaleNormal="133" workbookViewId="0">
      <pane ySplit="1" topLeftCell="A48" activePane="bottomLeft" state="frozen"/>
      <selection activeCell="A6" sqref="A6"/>
      <selection pane="bottomLeft" activeCell="C50" sqref="C50:C52"/>
    </sheetView>
  </sheetViews>
  <sheetFormatPr defaultRowHeight="22.3" customHeight="1" x14ac:dyDescent="0.4"/>
  <cols>
    <col min="1" max="1" width="20.07421875" customWidth="1"/>
    <col min="2" max="2" width="11.3046875" style="78" customWidth="1"/>
    <col min="3" max="3" width="10.84375" style="94" customWidth="1"/>
    <col min="4" max="4" width="10.84375" style="79" hidden="1" customWidth="1"/>
    <col min="5" max="5" width="8.921875" style="30" customWidth="1"/>
    <col min="6" max="6" width="8.921875" style="119" customWidth="1"/>
    <col min="7" max="7" width="8.921875" style="120" customWidth="1"/>
    <col min="8" max="11" width="8.921875" style="30" customWidth="1"/>
    <col min="12" max="12" width="8.921875" style="107" customWidth="1"/>
    <col min="13" max="17" width="7.69140625" customWidth="1"/>
  </cols>
  <sheetData>
    <row r="1" spans="1:21" ht="17.600000000000001" customHeight="1" x14ac:dyDescent="0.4">
      <c r="A1" s="81" t="s">
        <v>57</v>
      </c>
      <c r="B1" s="82"/>
      <c r="C1" s="89"/>
      <c r="D1" s="71"/>
      <c r="E1" s="58"/>
      <c r="F1" s="101"/>
      <c r="G1" s="88"/>
      <c r="H1" s="58"/>
      <c r="I1" s="58"/>
      <c r="J1" s="58"/>
      <c r="K1" s="58"/>
      <c r="L1" s="72"/>
      <c r="M1" s="57"/>
      <c r="N1" s="57"/>
      <c r="O1" s="57"/>
      <c r="P1" s="57"/>
      <c r="Q1" s="57"/>
      <c r="R1" s="57"/>
      <c r="S1" s="57"/>
      <c r="T1" s="57"/>
      <c r="U1" s="57"/>
    </row>
    <row r="2" spans="1:21" ht="16.3" customHeight="1" x14ac:dyDescent="0.4">
      <c r="A2" s="56" t="s">
        <v>58</v>
      </c>
      <c r="B2" s="71"/>
      <c r="C2" s="90"/>
      <c r="D2" s="74"/>
      <c r="E2" s="58"/>
      <c r="F2" s="101"/>
      <c r="G2" s="88"/>
      <c r="H2" s="58"/>
      <c r="I2" s="58"/>
      <c r="J2" s="58"/>
      <c r="K2" s="58"/>
      <c r="L2" s="72"/>
      <c r="M2" s="57"/>
      <c r="N2" s="57"/>
      <c r="O2" s="57"/>
      <c r="P2" s="57"/>
      <c r="Q2" s="57"/>
      <c r="R2" s="57"/>
      <c r="S2" s="57"/>
      <c r="T2" s="57"/>
      <c r="U2" s="57"/>
    </row>
    <row r="3" spans="1:21" ht="16.3" customHeight="1" x14ac:dyDescent="0.4">
      <c r="A3" s="60">
        <v>45057</v>
      </c>
      <c r="B3" s="71"/>
      <c r="C3" s="91"/>
      <c r="D3" s="71"/>
      <c r="E3" s="58"/>
      <c r="F3" s="101"/>
      <c r="G3" s="88"/>
      <c r="H3" s="58"/>
      <c r="I3" s="58"/>
      <c r="J3" s="58"/>
      <c r="K3" s="58"/>
      <c r="L3" s="72"/>
      <c r="M3" s="57"/>
      <c r="N3" s="57"/>
      <c r="O3" s="57"/>
      <c r="P3" s="57"/>
      <c r="Q3" s="57"/>
      <c r="R3" s="57"/>
      <c r="S3" s="57"/>
      <c r="T3" s="57"/>
      <c r="U3" s="57"/>
    </row>
    <row r="4" spans="1:21" ht="16.3" customHeight="1" x14ac:dyDescent="0.4">
      <c r="A4" s="56" t="s">
        <v>35</v>
      </c>
      <c r="B4" s="71"/>
      <c r="C4" s="91"/>
      <c r="D4" s="71"/>
      <c r="E4" s="58"/>
      <c r="F4" s="101"/>
      <c r="G4" s="88"/>
      <c r="H4" s="58"/>
      <c r="I4" s="58"/>
      <c r="J4" s="58"/>
      <c r="K4" s="58"/>
      <c r="L4" s="72"/>
      <c r="M4" s="57"/>
      <c r="N4" s="57"/>
      <c r="O4" s="57"/>
      <c r="P4" s="57"/>
      <c r="Q4" s="57"/>
      <c r="R4" s="57"/>
      <c r="S4" s="57"/>
      <c r="T4" s="57"/>
      <c r="U4" s="57"/>
    </row>
    <row r="5" spans="1:21" ht="22.3" customHeight="1" x14ac:dyDescent="0.4">
      <c r="A5" s="63"/>
      <c r="B5" s="71"/>
      <c r="C5" s="92"/>
      <c r="D5" s="75"/>
      <c r="E5" s="102"/>
      <c r="F5" s="103"/>
      <c r="G5" s="104"/>
      <c r="H5" s="105" t="s">
        <v>43</v>
      </c>
      <c r="I5" s="106" t="s">
        <v>44</v>
      </c>
      <c r="R5" s="57"/>
      <c r="S5" s="57"/>
      <c r="T5" s="57"/>
      <c r="U5" s="57"/>
    </row>
    <row r="6" spans="1:21" ht="22.3" customHeight="1" x14ac:dyDescent="0.4">
      <c r="A6" s="65" t="s">
        <v>3</v>
      </c>
      <c r="B6" s="76" t="s">
        <v>4</v>
      </c>
      <c r="C6" s="93" t="s">
        <v>90</v>
      </c>
      <c r="D6" s="77" t="s">
        <v>6</v>
      </c>
      <c r="E6" s="108" t="s">
        <v>91</v>
      </c>
      <c r="F6" s="109" t="s">
        <v>93</v>
      </c>
      <c r="G6" s="110" t="s">
        <v>92</v>
      </c>
      <c r="H6" s="108" t="s">
        <v>10</v>
      </c>
      <c r="I6" s="111" t="s">
        <v>34</v>
      </c>
      <c r="J6" s="105" t="s">
        <v>45</v>
      </c>
      <c r="K6" s="105" t="s">
        <v>47</v>
      </c>
      <c r="L6" s="112" t="s">
        <v>48</v>
      </c>
      <c r="M6" s="64" t="s">
        <v>49</v>
      </c>
      <c r="N6" s="64" t="s">
        <v>50</v>
      </c>
      <c r="O6" s="64" t="s">
        <v>51</v>
      </c>
      <c r="P6" s="64" t="s">
        <v>55</v>
      </c>
      <c r="Q6" s="64" t="s">
        <v>56</v>
      </c>
      <c r="R6" s="57"/>
      <c r="S6" s="57"/>
      <c r="T6" s="57"/>
      <c r="U6" s="57"/>
    </row>
    <row r="7" spans="1:21" ht="22.3" customHeight="1" x14ac:dyDescent="0.4">
      <c r="A7" s="63" t="s">
        <v>38</v>
      </c>
      <c r="B7" s="58"/>
      <c r="C7" s="91"/>
      <c r="D7" s="58"/>
      <c r="E7" s="58">
        <f>2692-E8</f>
        <v>2516</v>
      </c>
      <c r="F7" s="101"/>
      <c r="G7" s="88">
        <v>0</v>
      </c>
      <c r="H7" s="58">
        <f>G7*E7</f>
        <v>0</v>
      </c>
      <c r="I7" s="83">
        <f>H7*(1+$F7)</f>
        <v>0</v>
      </c>
      <c r="J7" s="58">
        <f t="shared" ref="J7:Q15" si="0">I7*(1+$F7)</f>
        <v>0</v>
      </c>
      <c r="K7" s="58">
        <f t="shared" si="0"/>
        <v>0</v>
      </c>
      <c r="L7" s="72">
        <f t="shared" si="0"/>
        <v>0</v>
      </c>
      <c r="M7" s="72"/>
      <c r="N7" s="72"/>
      <c r="O7" s="72"/>
      <c r="P7" s="72"/>
      <c r="Q7" s="72"/>
      <c r="R7" s="59" t="s">
        <v>37</v>
      </c>
      <c r="S7" s="57"/>
      <c r="T7" s="57"/>
      <c r="U7" s="57"/>
    </row>
    <row r="8" spans="1:21" ht="22.3" customHeight="1" x14ac:dyDescent="0.4">
      <c r="A8" s="63" t="s">
        <v>80</v>
      </c>
      <c r="B8" s="58"/>
      <c r="C8" s="91" t="s">
        <v>78</v>
      </c>
      <c r="D8" s="58"/>
      <c r="E8" s="58">
        <f>11*16</f>
        <v>176</v>
      </c>
      <c r="F8" s="101"/>
      <c r="G8" s="88">
        <f>J8/E8</f>
        <v>11.863636363636363</v>
      </c>
      <c r="H8" s="58"/>
      <c r="I8" s="58">
        <f>174*12</f>
        <v>2088</v>
      </c>
      <c r="J8" s="58">
        <f>174*12</f>
        <v>2088</v>
      </c>
      <c r="K8" s="58">
        <f t="shared" si="0"/>
        <v>2088</v>
      </c>
      <c r="L8" s="72">
        <f t="shared" si="0"/>
        <v>2088</v>
      </c>
      <c r="M8" s="72">
        <f>L8*103%</f>
        <v>2150.64</v>
      </c>
      <c r="N8" s="72">
        <f>M8</f>
        <v>2150.64</v>
      </c>
      <c r="O8" s="72">
        <f t="shared" ref="O8:Q8" si="1">N8</f>
        <v>2150.64</v>
      </c>
      <c r="P8" s="72">
        <f t="shared" si="1"/>
        <v>2150.64</v>
      </c>
      <c r="Q8" s="72">
        <f t="shared" si="1"/>
        <v>2150.64</v>
      </c>
      <c r="R8" s="62" t="s">
        <v>62</v>
      </c>
      <c r="S8" s="57"/>
      <c r="T8" s="57"/>
      <c r="U8" s="57"/>
    </row>
    <row r="9" spans="1:21" ht="22.3" customHeight="1" x14ac:dyDescent="0.4">
      <c r="A9" s="63" t="s">
        <v>81</v>
      </c>
      <c r="B9" s="58">
        <v>102</v>
      </c>
      <c r="C9" s="91">
        <v>45930</v>
      </c>
      <c r="D9" s="58"/>
      <c r="E9" s="58">
        <v>2705</v>
      </c>
      <c r="F9" s="101">
        <v>0.03</v>
      </c>
      <c r="G9" s="88">
        <f>I9/E9</f>
        <v>24.721604436229207</v>
      </c>
      <c r="H9" s="84">
        <v>63983</v>
      </c>
      <c r="I9" s="85">
        <v>66871.94</v>
      </c>
      <c r="J9" s="84">
        <f>I9*103%</f>
        <v>68878.098200000008</v>
      </c>
      <c r="K9" s="58">
        <f t="shared" si="0"/>
        <v>70944.441146000012</v>
      </c>
      <c r="L9" s="72">
        <f t="shared" si="0"/>
        <v>73072.774380380011</v>
      </c>
      <c r="M9" s="72">
        <f t="shared" si="0"/>
        <v>75264.957611791411</v>
      </c>
      <c r="N9" s="72">
        <f t="shared" si="0"/>
        <v>77522.906340145157</v>
      </c>
      <c r="O9" s="72">
        <f t="shared" si="0"/>
        <v>79848.593530349521</v>
      </c>
      <c r="P9" s="72">
        <f t="shared" si="0"/>
        <v>82244.051336260003</v>
      </c>
      <c r="Q9" s="72">
        <f t="shared" si="0"/>
        <v>84711.372876347799</v>
      </c>
      <c r="R9" s="57"/>
      <c r="S9" s="57"/>
      <c r="T9" s="57"/>
      <c r="U9" s="57"/>
    </row>
    <row r="10" spans="1:21" ht="22.3" customHeight="1" x14ac:dyDescent="0.4">
      <c r="A10" s="63" t="s">
        <v>41</v>
      </c>
      <c r="B10" s="58">
        <v>101</v>
      </c>
      <c r="C10" s="91">
        <v>45595</v>
      </c>
      <c r="D10" s="58"/>
      <c r="E10" s="58">
        <v>2135</v>
      </c>
      <c r="F10" s="101">
        <v>0.02</v>
      </c>
      <c r="G10" s="88">
        <f>J10/E10</f>
        <v>24.462763466042155</v>
      </c>
      <c r="H10" s="84">
        <v>50200.34</v>
      </c>
      <c r="I10" s="85">
        <f>G10*E10</f>
        <v>52228</v>
      </c>
      <c r="J10" s="84">
        <v>52228</v>
      </c>
      <c r="K10" s="84">
        <f t="shared" si="0"/>
        <v>53272.56</v>
      </c>
      <c r="L10" s="86">
        <f t="shared" si="0"/>
        <v>54338.011200000001</v>
      </c>
      <c r="M10" s="86">
        <f t="shared" si="0"/>
        <v>55424.771423999999</v>
      </c>
      <c r="N10" s="86">
        <f t="shared" si="0"/>
        <v>56533.266852480003</v>
      </c>
      <c r="O10" s="86">
        <f t="shared" si="0"/>
        <v>57663.932189529602</v>
      </c>
      <c r="P10" s="87">
        <f t="shared" si="0"/>
        <v>58817.210833320198</v>
      </c>
      <c r="Q10" s="88">
        <f t="shared" si="0"/>
        <v>59993.5550499866</v>
      </c>
      <c r="R10" s="57" t="s">
        <v>61</v>
      </c>
      <c r="S10" s="57"/>
      <c r="T10" s="57"/>
      <c r="U10" s="57"/>
    </row>
    <row r="11" spans="1:21" ht="22.3" customHeight="1" x14ac:dyDescent="0.4">
      <c r="A11" s="66" t="s">
        <v>42</v>
      </c>
      <c r="B11" s="58">
        <v>103</v>
      </c>
      <c r="C11" s="91">
        <v>47299</v>
      </c>
      <c r="D11" s="58"/>
      <c r="E11" s="58">
        <v>2951</v>
      </c>
      <c r="F11" s="101">
        <v>2.5000000000000001E-2</v>
      </c>
      <c r="G11" s="88">
        <f>J11/E11</f>
        <v>24.511690952219588</v>
      </c>
      <c r="H11" s="84">
        <f t="shared" ref="H11:H15" si="2">G11*E11</f>
        <v>72334</v>
      </c>
      <c r="I11" s="85">
        <f>G11*E11</f>
        <v>72334</v>
      </c>
      <c r="J11" s="84">
        <v>72334</v>
      </c>
      <c r="K11" s="84">
        <v>77829</v>
      </c>
      <c r="L11" s="86">
        <v>77829</v>
      </c>
      <c r="M11" s="86">
        <v>77829</v>
      </c>
      <c r="N11" s="86">
        <v>77829</v>
      </c>
      <c r="O11" s="86">
        <v>77829</v>
      </c>
      <c r="P11" s="87">
        <v>84252</v>
      </c>
      <c r="Q11" s="87">
        <v>85937</v>
      </c>
      <c r="R11" s="57"/>
      <c r="S11" s="57"/>
      <c r="T11" s="57"/>
      <c r="U11" s="57"/>
    </row>
    <row r="12" spans="1:21" ht="22.3" customHeight="1" x14ac:dyDescent="0.4">
      <c r="A12" s="66" t="s">
        <v>83</v>
      </c>
      <c r="B12" s="58">
        <v>204</v>
      </c>
      <c r="C12" s="91">
        <v>47239</v>
      </c>
      <c r="D12" s="58"/>
      <c r="E12" s="58">
        <v>2831</v>
      </c>
      <c r="F12" s="101">
        <v>0.03</v>
      </c>
      <c r="G12" s="88">
        <v>23</v>
      </c>
      <c r="H12" s="84"/>
      <c r="I12" s="85"/>
      <c r="J12" s="84">
        <f>G12*E12</f>
        <v>65113</v>
      </c>
      <c r="K12" s="84">
        <f>J12*(1+3%)</f>
        <v>67066.39</v>
      </c>
      <c r="L12" s="86">
        <f>K12*(103%)</f>
        <v>69078.381699999998</v>
      </c>
      <c r="M12" s="86">
        <f t="shared" ref="M12:Q12" si="3">L12*(103%)</f>
        <v>71150.733150999993</v>
      </c>
      <c r="N12" s="86">
        <f t="shared" si="3"/>
        <v>73285.255145529998</v>
      </c>
      <c r="O12" s="86">
        <f t="shared" si="3"/>
        <v>75483.812799895895</v>
      </c>
      <c r="P12" s="86">
        <f t="shared" si="3"/>
        <v>77748.327183892776</v>
      </c>
      <c r="Q12" s="86">
        <f t="shared" si="3"/>
        <v>80080.776999409558</v>
      </c>
      <c r="R12" s="57"/>
      <c r="S12" s="57"/>
      <c r="T12" s="57"/>
      <c r="U12" s="57"/>
    </row>
    <row r="13" spans="1:21" ht="22.3" customHeight="1" x14ac:dyDescent="0.4">
      <c r="A13" s="56" t="s">
        <v>94</v>
      </c>
      <c r="B13" s="71">
        <v>201</v>
      </c>
      <c r="C13" s="91"/>
      <c r="D13" s="71"/>
      <c r="E13" s="58">
        <v>5210</v>
      </c>
      <c r="F13" s="101">
        <v>0.02</v>
      </c>
      <c r="G13" s="88">
        <v>23</v>
      </c>
      <c r="H13" s="84">
        <f t="shared" si="2"/>
        <v>119830</v>
      </c>
      <c r="I13" s="85">
        <v>202872</v>
      </c>
      <c r="J13" s="86">
        <f>G13*E13</f>
        <v>119830</v>
      </c>
      <c r="K13" s="84">
        <f>J13*(1+3%)</f>
        <v>123424.90000000001</v>
      </c>
      <c r="L13" s="84">
        <f t="shared" ref="L13:Q13" si="4">K13*(1+3%)</f>
        <v>127127.64700000001</v>
      </c>
      <c r="M13" s="84">
        <f t="shared" si="4"/>
        <v>130941.47641000002</v>
      </c>
      <c r="N13" s="84">
        <f t="shared" si="4"/>
        <v>134869.72070230002</v>
      </c>
      <c r="O13" s="84">
        <f t="shared" si="4"/>
        <v>138915.81232336903</v>
      </c>
      <c r="P13" s="84">
        <f t="shared" si="4"/>
        <v>143083.28669307011</v>
      </c>
      <c r="Q13" s="84">
        <f t="shared" si="4"/>
        <v>147375.78529386222</v>
      </c>
      <c r="R13" s="57"/>
      <c r="S13" s="57"/>
      <c r="T13" s="57"/>
      <c r="U13" s="57"/>
    </row>
    <row r="14" spans="1:21" ht="22.3" customHeight="1" x14ac:dyDescent="0.4">
      <c r="A14" s="63" t="s">
        <v>79</v>
      </c>
      <c r="B14" s="71">
        <v>301</v>
      </c>
      <c r="C14" s="91">
        <v>47299</v>
      </c>
      <c r="D14" s="71"/>
      <c r="E14" s="58">
        <v>4978</v>
      </c>
      <c r="F14" s="101">
        <v>0</v>
      </c>
      <c r="G14" s="88">
        <f>I14/E14</f>
        <v>25.5</v>
      </c>
      <c r="H14" s="84">
        <f t="shared" si="2"/>
        <v>126939</v>
      </c>
      <c r="I14" s="85">
        <v>126939</v>
      </c>
      <c r="J14" s="84">
        <v>130361.4</v>
      </c>
      <c r="K14" s="84">
        <f t="shared" si="0"/>
        <v>130361.4</v>
      </c>
      <c r="L14" s="86">
        <f t="shared" si="0"/>
        <v>130361.4</v>
      </c>
      <c r="M14" s="86">
        <f>L14*103%</f>
        <v>134272.242</v>
      </c>
      <c r="N14" s="72">
        <f>M14</f>
        <v>134272.242</v>
      </c>
      <c r="O14" s="72">
        <f t="shared" ref="O14:Q14" si="5">N14</f>
        <v>134272.242</v>
      </c>
      <c r="P14" s="88">
        <f t="shared" si="5"/>
        <v>134272.242</v>
      </c>
      <c r="Q14" s="88">
        <f t="shared" si="5"/>
        <v>134272.242</v>
      </c>
      <c r="R14" s="61" t="s">
        <v>52</v>
      </c>
      <c r="S14" s="57"/>
      <c r="T14" s="57"/>
      <c r="U14" s="57"/>
    </row>
    <row r="15" spans="1:21" ht="22.3" customHeight="1" x14ac:dyDescent="0.45">
      <c r="A15" s="63" t="s">
        <v>64</v>
      </c>
      <c r="B15" s="71">
        <v>302</v>
      </c>
      <c r="C15" s="91">
        <v>47299</v>
      </c>
      <c r="D15" s="71"/>
      <c r="E15" s="113">
        <v>3045</v>
      </c>
      <c r="F15" s="101">
        <v>0.02</v>
      </c>
      <c r="G15" s="88">
        <f>I15/E15</f>
        <v>24.867323481116586</v>
      </c>
      <c r="H15" s="96">
        <f t="shared" si="2"/>
        <v>75721</v>
      </c>
      <c r="I15" s="114">
        <v>75721</v>
      </c>
      <c r="J15" s="96">
        <v>76478.759999999995</v>
      </c>
      <c r="K15" s="96">
        <f t="shared" si="0"/>
        <v>78008.335200000001</v>
      </c>
      <c r="L15" s="97">
        <f t="shared" si="0"/>
        <v>79568.501904000004</v>
      </c>
      <c r="M15" s="97">
        <f t="shared" si="0"/>
        <v>81159.871942080004</v>
      </c>
      <c r="N15" s="97">
        <f t="shared" si="0"/>
        <v>82783.069380921603</v>
      </c>
      <c r="O15" s="97">
        <f t="shared" si="0"/>
        <v>84438.73076854003</v>
      </c>
      <c r="P15" s="98">
        <f t="shared" si="0"/>
        <v>86127.50538391083</v>
      </c>
      <c r="Q15" s="98">
        <f t="shared" si="0"/>
        <v>87850.055491589053</v>
      </c>
      <c r="R15" s="57"/>
      <c r="S15" s="57"/>
      <c r="T15" s="57"/>
      <c r="U15" s="57"/>
    </row>
    <row r="16" spans="1:21" ht="22.3" customHeight="1" x14ac:dyDescent="0.4">
      <c r="A16" s="63" t="s">
        <v>46</v>
      </c>
      <c r="B16" s="71"/>
      <c r="C16" s="91"/>
      <c r="D16" s="71"/>
      <c r="E16" s="58">
        <f>SUM(E7:E15)</f>
        <v>26547</v>
      </c>
      <c r="F16" s="101"/>
      <c r="G16" s="88"/>
      <c r="H16" s="58">
        <f>SUM(H7:H15)</f>
        <v>509007.33999999997</v>
      </c>
      <c r="I16" s="83">
        <f>SUM(I7:I15)</f>
        <v>599053.93999999994</v>
      </c>
      <c r="J16" s="58">
        <f>SUM(J7:J15)</f>
        <v>587311.25820000004</v>
      </c>
      <c r="K16" s="58">
        <f>SUM(K7:K15)</f>
        <v>602995.02634600003</v>
      </c>
      <c r="L16" s="72">
        <f>SUM(L7:L15)</f>
        <v>613463.71618438</v>
      </c>
      <c r="M16" s="67">
        <f>SUM(M7:M15)</f>
        <v>628193.69253887131</v>
      </c>
      <c r="N16" s="67">
        <f>SUM(N7:N15)</f>
        <v>639246.10042137676</v>
      </c>
      <c r="O16" s="67">
        <f>SUM(O7:O15)</f>
        <v>650602.76361168409</v>
      </c>
      <c r="P16" s="67">
        <f>SUM(P7:P15)</f>
        <v>668695.26343045384</v>
      </c>
      <c r="Q16" s="67">
        <f>SUM(Q7:Q15)</f>
        <v>682371.4277111952</v>
      </c>
      <c r="R16" s="57"/>
      <c r="S16" s="57"/>
      <c r="T16" s="57"/>
      <c r="U16" s="57"/>
    </row>
    <row r="17" spans="1:21" ht="22.3" customHeight="1" x14ac:dyDescent="0.4">
      <c r="A17" s="63" t="s">
        <v>11</v>
      </c>
      <c r="B17" s="71"/>
      <c r="C17" s="91">
        <v>17</v>
      </c>
      <c r="D17" s="71"/>
      <c r="E17" s="58"/>
      <c r="F17" s="101"/>
      <c r="G17" s="88"/>
      <c r="H17" s="115">
        <f>C17*95*12</f>
        <v>19380</v>
      </c>
      <c r="I17" s="116">
        <f>H17</f>
        <v>19380</v>
      </c>
      <c r="J17" s="115">
        <f t="shared" ref="J17:L17" si="6">I17</f>
        <v>19380</v>
      </c>
      <c r="K17" s="115">
        <f t="shared" si="6"/>
        <v>19380</v>
      </c>
      <c r="L17" s="117">
        <f t="shared" si="6"/>
        <v>19380</v>
      </c>
      <c r="M17" s="69">
        <f>C17*110*12</f>
        <v>22440</v>
      </c>
      <c r="N17" s="69">
        <f>M17</f>
        <v>22440</v>
      </c>
      <c r="O17" s="69">
        <f>N17</f>
        <v>22440</v>
      </c>
      <c r="P17" s="69">
        <f t="shared" ref="P17:Q17" si="7">O17</f>
        <v>22440</v>
      </c>
      <c r="Q17" s="69">
        <f t="shared" si="7"/>
        <v>22440</v>
      </c>
      <c r="R17" s="57" t="s">
        <v>54</v>
      </c>
      <c r="S17" s="57"/>
      <c r="T17" s="57"/>
      <c r="U17" s="57"/>
    </row>
    <row r="18" spans="1:21" ht="22.3" customHeight="1" x14ac:dyDescent="0.4">
      <c r="A18" s="63" t="s">
        <v>36</v>
      </c>
      <c r="B18" s="71"/>
      <c r="C18" s="91"/>
      <c r="D18" s="71"/>
      <c r="E18" s="58"/>
      <c r="F18" s="101"/>
      <c r="G18" s="88"/>
      <c r="H18" s="58">
        <f t="shared" ref="H18:Q18" si="8">SUM(H16:H17)</f>
        <v>528387.34</v>
      </c>
      <c r="I18" s="83">
        <f t="shared" si="8"/>
        <v>618433.93999999994</v>
      </c>
      <c r="J18" s="58">
        <f t="shared" si="8"/>
        <v>606691.25820000004</v>
      </c>
      <c r="K18" s="58">
        <f t="shared" si="8"/>
        <v>622375.02634600003</v>
      </c>
      <c r="L18" s="72">
        <f t="shared" si="8"/>
        <v>632843.71618438</v>
      </c>
      <c r="M18" s="67">
        <f t="shared" si="8"/>
        <v>650633.69253887131</v>
      </c>
      <c r="N18" s="67">
        <f t="shared" si="8"/>
        <v>661686.10042137676</v>
      </c>
      <c r="O18" s="67">
        <f t="shared" si="8"/>
        <v>673042.76361168409</v>
      </c>
      <c r="P18" s="67">
        <f t="shared" si="8"/>
        <v>691135.26343045384</v>
      </c>
      <c r="Q18" s="67">
        <f t="shared" si="8"/>
        <v>704811.4277111952</v>
      </c>
      <c r="R18" s="57"/>
      <c r="S18" s="57"/>
      <c r="T18" s="57"/>
      <c r="U18" s="57"/>
    </row>
    <row r="19" spans="1:21" ht="22.3" customHeight="1" x14ac:dyDescent="0.4">
      <c r="A19" s="70" t="s">
        <v>40</v>
      </c>
      <c r="B19" s="71"/>
      <c r="C19" s="91"/>
      <c r="D19" s="71"/>
      <c r="E19" s="58"/>
      <c r="F19" s="101"/>
      <c r="G19" s="88"/>
      <c r="H19" s="58"/>
      <c r="I19" s="58"/>
      <c r="J19" s="58"/>
      <c r="K19" s="58"/>
      <c r="L19" s="72"/>
      <c r="M19" s="57"/>
      <c r="N19" s="57"/>
      <c r="O19" s="57"/>
      <c r="P19" s="57"/>
      <c r="Q19" s="57"/>
      <c r="R19" s="57"/>
      <c r="S19" s="57"/>
      <c r="T19" s="57"/>
      <c r="U19" s="57"/>
    </row>
    <row r="20" spans="1:21" ht="22.3" customHeight="1" x14ac:dyDescent="0.4">
      <c r="A20" s="63" t="s">
        <v>12</v>
      </c>
      <c r="B20" s="71"/>
      <c r="C20" s="91"/>
      <c r="D20" s="71"/>
      <c r="E20" s="58"/>
      <c r="F20" s="101">
        <v>0.04</v>
      </c>
      <c r="G20" s="88"/>
      <c r="H20" s="58">
        <f>H18*$F20</f>
        <v>21135.493599999998</v>
      </c>
      <c r="I20" s="58">
        <f>I18*$F20</f>
        <v>24737.357599999999</v>
      </c>
      <c r="J20" s="58">
        <f>J18*$F20</f>
        <v>24267.650328000003</v>
      </c>
      <c r="K20" s="58">
        <f>K18*$F20</f>
        <v>24895.001053840002</v>
      </c>
      <c r="L20" s="72">
        <f>L18*$F20</f>
        <v>25313.7486473752</v>
      </c>
      <c r="M20" s="57"/>
      <c r="N20" s="57"/>
      <c r="O20" s="57"/>
      <c r="P20" s="57"/>
      <c r="Q20" s="57"/>
      <c r="R20" s="57"/>
      <c r="S20" s="57"/>
      <c r="T20" s="57"/>
      <c r="U20" s="57"/>
    </row>
    <row r="21" spans="1:21" ht="22.3" customHeight="1" x14ac:dyDescent="0.4">
      <c r="A21" s="63" t="s">
        <v>13</v>
      </c>
      <c r="B21" s="71"/>
      <c r="C21" s="91"/>
      <c r="D21" s="71"/>
      <c r="E21" s="58"/>
      <c r="F21" s="101">
        <v>0.02</v>
      </c>
      <c r="G21" s="88"/>
      <c r="H21" s="58">
        <v>11322</v>
      </c>
      <c r="I21" s="58">
        <f t="shared" ref="I21:L37" si="9">H21*(1+$F21)</f>
        <v>11548.44</v>
      </c>
      <c r="J21" s="58">
        <f t="shared" si="9"/>
        <v>11779.408800000001</v>
      </c>
      <c r="K21" s="58">
        <f t="shared" si="9"/>
        <v>12014.996976000002</v>
      </c>
      <c r="L21" s="72">
        <f t="shared" si="9"/>
        <v>12255.296915520003</v>
      </c>
      <c r="M21" s="57"/>
      <c r="N21" s="57"/>
      <c r="O21" s="62">
        <f>I9</f>
        <v>66871.94</v>
      </c>
      <c r="P21" s="57"/>
      <c r="Q21" s="57"/>
      <c r="R21" s="57"/>
      <c r="S21" s="57"/>
      <c r="T21" s="57"/>
      <c r="U21" s="57"/>
    </row>
    <row r="22" spans="1:21" ht="22.3" customHeight="1" x14ac:dyDescent="0.4">
      <c r="A22" s="63" t="s">
        <v>14</v>
      </c>
      <c r="B22" s="71"/>
      <c r="C22" s="91"/>
      <c r="D22" s="71"/>
      <c r="E22" s="58"/>
      <c r="F22" s="101">
        <v>0.02</v>
      </c>
      <c r="G22" s="88"/>
      <c r="H22" s="58">
        <v>25961</v>
      </c>
      <c r="I22" s="58">
        <f t="shared" si="9"/>
        <v>26480.22</v>
      </c>
      <c r="J22" s="58">
        <f t="shared" si="9"/>
        <v>27009.824400000001</v>
      </c>
      <c r="K22" s="58">
        <f t="shared" si="9"/>
        <v>27550.020888000003</v>
      </c>
      <c r="L22" s="72">
        <f t="shared" si="9"/>
        <v>28101.021305760005</v>
      </c>
      <c r="M22" s="57"/>
      <c r="N22" s="57"/>
      <c r="O22" s="62">
        <f>I10</f>
        <v>52228</v>
      </c>
      <c r="P22" s="57"/>
      <c r="Q22" s="57"/>
      <c r="R22" s="57"/>
      <c r="S22" s="57"/>
      <c r="T22" s="57"/>
      <c r="U22" s="57"/>
    </row>
    <row r="23" spans="1:21" ht="22.3" customHeight="1" x14ac:dyDescent="0.4">
      <c r="A23" s="63" t="s">
        <v>15</v>
      </c>
      <c r="B23" s="71"/>
      <c r="C23" s="91"/>
      <c r="D23" s="71"/>
      <c r="E23" s="58"/>
      <c r="F23" s="101">
        <v>0.02</v>
      </c>
      <c r="G23" s="88"/>
      <c r="H23" s="58">
        <v>5807</v>
      </c>
      <c r="I23" s="58">
        <f t="shared" si="9"/>
        <v>5923.14</v>
      </c>
      <c r="J23" s="58">
        <f t="shared" si="9"/>
        <v>6041.6028000000006</v>
      </c>
      <c r="K23" s="58">
        <f t="shared" si="9"/>
        <v>6162.4348560000008</v>
      </c>
      <c r="L23" s="72">
        <f t="shared" si="9"/>
        <v>6285.6835531200013</v>
      </c>
      <c r="M23" s="57"/>
      <c r="N23" s="57"/>
      <c r="O23" s="62">
        <f>I11</f>
        <v>72334</v>
      </c>
      <c r="P23" s="57"/>
      <c r="Q23" s="57"/>
      <c r="R23" s="57"/>
      <c r="S23" s="57"/>
      <c r="T23" s="57"/>
      <c r="U23" s="57"/>
    </row>
    <row r="24" spans="1:21" ht="22.3" customHeight="1" x14ac:dyDescent="0.4">
      <c r="A24" s="63" t="s">
        <v>16</v>
      </c>
      <c r="B24" s="71"/>
      <c r="C24" s="91"/>
      <c r="D24" s="71"/>
      <c r="E24" s="58"/>
      <c r="F24" s="101">
        <v>0.02</v>
      </c>
      <c r="G24" s="88"/>
      <c r="H24" s="58">
        <v>10614</v>
      </c>
      <c r="I24" s="58">
        <f t="shared" si="9"/>
        <v>10826.28</v>
      </c>
      <c r="J24" s="58">
        <f t="shared" si="9"/>
        <v>11042.805600000002</v>
      </c>
      <c r="K24" s="58">
        <f t="shared" si="9"/>
        <v>11263.661712000001</v>
      </c>
      <c r="L24" s="72">
        <f t="shared" si="9"/>
        <v>11488.93494624</v>
      </c>
      <c r="M24" s="57"/>
      <c r="N24" s="57"/>
      <c r="O24" s="62">
        <f t="shared" ref="O24:O29" si="10">I13</f>
        <v>202872</v>
      </c>
      <c r="P24" s="57"/>
      <c r="Q24" s="57"/>
      <c r="R24" s="57"/>
      <c r="S24" s="57"/>
      <c r="T24" s="57"/>
      <c r="U24" s="57"/>
    </row>
    <row r="25" spans="1:21" ht="22.3" customHeight="1" x14ac:dyDescent="0.4">
      <c r="A25" s="63" t="s">
        <v>17</v>
      </c>
      <c r="B25" s="71"/>
      <c r="C25" s="91"/>
      <c r="D25" s="71"/>
      <c r="E25" s="58"/>
      <c r="F25" s="101">
        <v>0.02</v>
      </c>
      <c r="G25" s="88"/>
      <c r="H25" s="58">
        <v>1224</v>
      </c>
      <c r="I25" s="58">
        <f t="shared" si="9"/>
        <v>1248.48</v>
      </c>
      <c r="J25" s="58">
        <f t="shared" si="9"/>
        <v>1273.4496000000001</v>
      </c>
      <c r="K25" s="58">
        <f t="shared" si="9"/>
        <v>1298.9185920000002</v>
      </c>
      <c r="L25" s="72">
        <f t="shared" si="9"/>
        <v>1324.8969638400004</v>
      </c>
      <c r="M25" s="57"/>
      <c r="N25" s="57"/>
      <c r="O25" s="62">
        <f t="shared" si="10"/>
        <v>126939</v>
      </c>
      <c r="P25" s="57"/>
      <c r="Q25" s="57"/>
      <c r="R25" s="57"/>
      <c r="S25" s="57"/>
      <c r="T25" s="57"/>
      <c r="U25" s="57"/>
    </row>
    <row r="26" spans="1:21" ht="22.3" customHeight="1" x14ac:dyDescent="0.4">
      <c r="A26" s="63" t="s">
        <v>18</v>
      </c>
      <c r="B26" s="71"/>
      <c r="C26" s="91"/>
      <c r="D26" s="71"/>
      <c r="E26" s="58"/>
      <c r="F26" s="101">
        <v>0.02</v>
      </c>
      <c r="G26" s="88"/>
      <c r="H26" s="58">
        <v>5000</v>
      </c>
      <c r="I26" s="58">
        <f t="shared" si="9"/>
        <v>5100</v>
      </c>
      <c r="J26" s="58">
        <f t="shared" si="9"/>
        <v>5202</v>
      </c>
      <c r="K26" s="58">
        <f t="shared" si="9"/>
        <v>5306.04</v>
      </c>
      <c r="L26" s="72">
        <f t="shared" si="9"/>
        <v>5412.1607999999997</v>
      </c>
      <c r="M26" s="57"/>
      <c r="N26" s="57"/>
      <c r="O26" s="62">
        <f t="shared" si="10"/>
        <v>75721</v>
      </c>
      <c r="P26" s="57"/>
      <c r="Q26" s="57"/>
      <c r="R26" s="57"/>
      <c r="S26" s="57"/>
      <c r="T26" s="57"/>
      <c r="U26" s="57"/>
    </row>
    <row r="27" spans="1:21" ht="22.3" customHeight="1" x14ac:dyDescent="0.4">
      <c r="A27" s="63" t="s">
        <v>19</v>
      </c>
      <c r="B27" s="71"/>
      <c r="C27" s="91"/>
      <c r="D27" s="71"/>
      <c r="E27" s="58"/>
      <c r="F27" s="101">
        <v>0.02</v>
      </c>
      <c r="G27" s="88"/>
      <c r="H27" s="58">
        <v>729</v>
      </c>
      <c r="I27" s="58">
        <f t="shared" si="9"/>
        <v>743.58</v>
      </c>
      <c r="J27" s="58">
        <f t="shared" si="9"/>
        <v>758.4516000000001</v>
      </c>
      <c r="K27" s="58">
        <f t="shared" si="9"/>
        <v>773.62063200000011</v>
      </c>
      <c r="L27" s="72">
        <f t="shared" si="9"/>
        <v>789.09304464000013</v>
      </c>
      <c r="M27" s="57"/>
      <c r="N27" s="57"/>
      <c r="O27" s="62">
        <f t="shared" si="10"/>
        <v>599053.93999999994</v>
      </c>
      <c r="P27" s="57"/>
      <c r="Q27" s="57"/>
      <c r="R27" s="57"/>
      <c r="S27" s="57"/>
      <c r="T27" s="57"/>
      <c r="U27" s="57"/>
    </row>
    <row r="28" spans="1:21" ht="22.3" customHeight="1" x14ac:dyDescent="0.4">
      <c r="A28" s="63" t="s">
        <v>20</v>
      </c>
      <c r="B28" s="71"/>
      <c r="C28" s="91"/>
      <c r="D28" s="71"/>
      <c r="E28" s="58"/>
      <c r="F28" s="101">
        <v>0.02</v>
      </c>
      <c r="G28" s="88"/>
      <c r="H28" s="58">
        <v>145</v>
      </c>
      <c r="I28" s="58">
        <f t="shared" si="9"/>
        <v>147.9</v>
      </c>
      <c r="J28" s="58">
        <f t="shared" si="9"/>
        <v>150.858</v>
      </c>
      <c r="K28" s="58">
        <f t="shared" si="9"/>
        <v>153.87515999999999</v>
      </c>
      <c r="L28" s="72">
        <f t="shared" si="9"/>
        <v>156.95266319999999</v>
      </c>
      <c r="M28" s="57"/>
      <c r="N28" s="57"/>
      <c r="O28" s="62">
        <f t="shared" si="10"/>
        <v>19380</v>
      </c>
      <c r="P28" s="57"/>
      <c r="Q28" s="57"/>
      <c r="R28" s="57"/>
      <c r="S28" s="57"/>
      <c r="T28" s="57"/>
      <c r="U28" s="57"/>
    </row>
    <row r="29" spans="1:21" ht="22.3" customHeight="1" x14ac:dyDescent="0.4">
      <c r="A29" s="63" t="s">
        <v>21</v>
      </c>
      <c r="B29" s="71"/>
      <c r="C29" s="91"/>
      <c r="D29" s="71"/>
      <c r="E29" s="58"/>
      <c r="F29" s="101">
        <v>0.02</v>
      </c>
      <c r="G29" s="88"/>
      <c r="H29" s="58">
        <v>5073</v>
      </c>
      <c r="I29" s="58">
        <f t="shared" si="9"/>
        <v>5174.46</v>
      </c>
      <c r="J29" s="58">
        <f t="shared" si="9"/>
        <v>5277.9492</v>
      </c>
      <c r="K29" s="58">
        <f t="shared" si="9"/>
        <v>5383.5081840000003</v>
      </c>
      <c r="L29" s="72">
        <f t="shared" si="9"/>
        <v>5491.1783476800001</v>
      </c>
      <c r="M29" s="57"/>
      <c r="N29" s="57"/>
      <c r="O29" s="62">
        <f t="shared" si="10"/>
        <v>618433.93999999994</v>
      </c>
      <c r="P29" s="57"/>
      <c r="Q29" s="57"/>
      <c r="R29" s="57"/>
      <c r="S29" s="57"/>
      <c r="T29" s="57"/>
      <c r="U29" s="57"/>
    </row>
    <row r="30" spans="1:21" ht="22.3" customHeight="1" x14ac:dyDescent="0.4">
      <c r="A30" s="63" t="s">
        <v>22</v>
      </c>
      <c r="B30" s="71"/>
      <c r="C30" s="91"/>
      <c r="D30" s="71"/>
      <c r="E30" s="58"/>
      <c r="F30" s="101">
        <v>0.02</v>
      </c>
      <c r="G30" s="88"/>
      <c r="H30" s="58">
        <v>85</v>
      </c>
      <c r="I30" s="58">
        <f t="shared" si="9"/>
        <v>86.7</v>
      </c>
      <c r="J30" s="58">
        <f t="shared" si="9"/>
        <v>88.433999999999997</v>
      </c>
      <c r="K30" s="58">
        <f t="shared" si="9"/>
        <v>90.202680000000001</v>
      </c>
      <c r="L30" s="72">
        <f t="shared" si="9"/>
        <v>92.006733600000004</v>
      </c>
      <c r="M30" s="57"/>
      <c r="N30" s="57"/>
      <c r="O30" s="62"/>
      <c r="P30" s="57"/>
      <c r="Q30" s="57"/>
      <c r="R30" s="57"/>
      <c r="S30" s="57"/>
      <c r="T30" s="57"/>
      <c r="U30" s="57"/>
    </row>
    <row r="31" spans="1:21" ht="22.3" customHeight="1" x14ac:dyDescent="0.4">
      <c r="A31" s="63" t="s">
        <v>23</v>
      </c>
      <c r="B31" s="71"/>
      <c r="C31" s="91"/>
      <c r="D31" s="71"/>
      <c r="E31" s="58"/>
      <c r="F31" s="101">
        <v>0.02</v>
      </c>
      <c r="G31" s="88"/>
      <c r="H31" s="58">
        <v>3158</v>
      </c>
      <c r="I31" s="58">
        <f t="shared" si="9"/>
        <v>3221.16</v>
      </c>
      <c r="J31" s="58">
        <f t="shared" si="9"/>
        <v>3285.5832</v>
      </c>
      <c r="K31" s="58">
        <f t="shared" si="9"/>
        <v>3351.294864</v>
      </c>
      <c r="L31" s="72">
        <f t="shared" si="9"/>
        <v>3418.3207612800002</v>
      </c>
      <c r="M31" s="57"/>
      <c r="N31" s="62"/>
      <c r="O31" s="57"/>
      <c r="P31" s="57"/>
      <c r="Q31" s="57"/>
      <c r="R31" s="57"/>
      <c r="S31" s="57"/>
      <c r="T31" s="57"/>
      <c r="U31" s="57"/>
    </row>
    <row r="32" spans="1:21" ht="22.3" customHeight="1" x14ac:dyDescent="0.4">
      <c r="A32" s="63" t="s">
        <v>24</v>
      </c>
      <c r="B32" s="71"/>
      <c r="C32" s="91"/>
      <c r="D32" s="71"/>
      <c r="E32" s="58"/>
      <c r="F32" s="101">
        <v>0.02</v>
      </c>
      <c r="G32" s="88"/>
      <c r="H32" s="58">
        <v>803</v>
      </c>
      <c r="I32" s="58">
        <f t="shared" si="9"/>
        <v>819.06000000000006</v>
      </c>
      <c r="J32" s="58">
        <f t="shared" si="9"/>
        <v>835.44120000000009</v>
      </c>
      <c r="K32" s="58">
        <f t="shared" si="9"/>
        <v>852.15002400000014</v>
      </c>
      <c r="L32" s="72">
        <f t="shared" si="9"/>
        <v>869.19302448000019</v>
      </c>
      <c r="M32" s="57"/>
      <c r="N32" s="62"/>
      <c r="O32" s="57"/>
      <c r="P32" s="57"/>
      <c r="Q32" s="57"/>
      <c r="R32" s="57"/>
      <c r="S32" s="57"/>
      <c r="T32" s="57"/>
      <c r="U32" s="57"/>
    </row>
    <row r="33" spans="1:21" ht="22.3" customHeight="1" x14ac:dyDescent="0.4">
      <c r="A33" s="63" t="s">
        <v>25</v>
      </c>
      <c r="B33" s="71"/>
      <c r="C33" s="91"/>
      <c r="D33" s="71"/>
      <c r="E33" s="58"/>
      <c r="F33" s="101">
        <v>0.02</v>
      </c>
      <c r="G33" s="88"/>
      <c r="H33" s="58">
        <v>3500</v>
      </c>
      <c r="I33" s="58">
        <f t="shared" si="9"/>
        <v>3570</v>
      </c>
      <c r="J33" s="58">
        <f t="shared" si="9"/>
        <v>3641.4</v>
      </c>
      <c r="K33" s="58">
        <f t="shared" si="9"/>
        <v>3714.2280000000001</v>
      </c>
      <c r="L33" s="72">
        <f t="shared" si="9"/>
        <v>3788.5125600000001</v>
      </c>
      <c r="M33" s="57"/>
      <c r="N33" s="61"/>
      <c r="O33" s="57"/>
      <c r="P33" s="57"/>
      <c r="Q33" s="57"/>
      <c r="R33" s="57"/>
      <c r="S33" s="57"/>
      <c r="T33" s="57"/>
      <c r="U33" s="57"/>
    </row>
    <row r="34" spans="1:21" ht="22.3" customHeight="1" x14ac:dyDescent="0.4">
      <c r="A34" s="63" t="s">
        <v>26</v>
      </c>
      <c r="B34" s="71"/>
      <c r="C34" s="91"/>
      <c r="D34" s="71"/>
      <c r="E34" s="58"/>
      <c r="F34" s="101">
        <v>0.02</v>
      </c>
      <c r="G34" s="88"/>
      <c r="H34" s="58">
        <v>13029</v>
      </c>
      <c r="I34" s="58">
        <f t="shared" si="9"/>
        <v>13289.58</v>
      </c>
      <c r="J34" s="58">
        <f t="shared" si="9"/>
        <v>13555.3716</v>
      </c>
      <c r="K34" s="58">
        <f t="shared" si="9"/>
        <v>13826.479032000001</v>
      </c>
      <c r="L34" s="72">
        <f t="shared" si="9"/>
        <v>14103.008612640002</v>
      </c>
      <c r="M34" s="57"/>
      <c r="N34" s="57"/>
      <c r="O34" s="57"/>
      <c r="P34" s="57"/>
      <c r="Q34" s="57"/>
      <c r="R34" s="57"/>
      <c r="S34" s="57"/>
      <c r="T34" s="57"/>
      <c r="U34" s="57"/>
    </row>
    <row r="35" spans="1:21" ht="22.3" customHeight="1" x14ac:dyDescent="0.4">
      <c r="A35" s="63" t="s">
        <v>27</v>
      </c>
      <c r="B35" s="71"/>
      <c r="C35" s="91"/>
      <c r="D35" s="71"/>
      <c r="E35" s="58"/>
      <c r="F35" s="101">
        <v>0.02</v>
      </c>
      <c r="G35" s="88"/>
      <c r="H35" s="58">
        <v>3165</v>
      </c>
      <c r="I35" s="58">
        <f t="shared" si="9"/>
        <v>3228.3</v>
      </c>
      <c r="J35" s="58">
        <f t="shared" si="9"/>
        <v>3292.8660000000004</v>
      </c>
      <c r="K35" s="58">
        <f t="shared" si="9"/>
        <v>3358.7233200000005</v>
      </c>
      <c r="L35" s="72">
        <f t="shared" si="9"/>
        <v>3425.8977864000008</v>
      </c>
      <c r="M35" s="57"/>
      <c r="N35" s="57"/>
      <c r="O35" s="57"/>
      <c r="P35" s="57"/>
      <c r="Q35" s="57"/>
      <c r="R35" s="57"/>
      <c r="S35" s="57"/>
      <c r="T35" s="57"/>
      <c r="U35" s="57"/>
    </row>
    <row r="36" spans="1:21" ht="22.3" customHeight="1" x14ac:dyDescent="0.4">
      <c r="A36" s="63" t="s">
        <v>28</v>
      </c>
      <c r="B36" s="71"/>
      <c r="C36" s="91"/>
      <c r="D36" s="71"/>
      <c r="E36" s="58"/>
      <c r="F36" s="101">
        <v>0.02</v>
      </c>
      <c r="G36" s="88"/>
      <c r="H36" s="58">
        <v>6052</v>
      </c>
      <c r="I36" s="58">
        <f t="shared" si="9"/>
        <v>6173.04</v>
      </c>
      <c r="J36" s="58">
        <f t="shared" si="9"/>
        <v>6296.5007999999998</v>
      </c>
      <c r="K36" s="58">
        <f t="shared" si="9"/>
        <v>6422.430816</v>
      </c>
      <c r="L36" s="72">
        <f t="shared" si="9"/>
        <v>6550.87943232</v>
      </c>
      <c r="M36" s="57"/>
      <c r="N36" s="57"/>
      <c r="O36" s="57"/>
      <c r="P36" s="57"/>
      <c r="Q36" s="57"/>
      <c r="R36" s="57"/>
      <c r="S36" s="57"/>
      <c r="T36" s="57"/>
      <c r="U36" s="57"/>
    </row>
    <row r="37" spans="1:21" ht="22.3" customHeight="1" x14ac:dyDescent="0.4">
      <c r="A37" s="63" t="s">
        <v>29</v>
      </c>
      <c r="B37" s="71"/>
      <c r="C37" s="91"/>
      <c r="D37" s="71"/>
      <c r="E37" s="58"/>
      <c r="F37" s="101">
        <v>0.02</v>
      </c>
      <c r="G37" s="88"/>
      <c r="H37" s="58">
        <v>7580</v>
      </c>
      <c r="I37" s="58">
        <f t="shared" si="9"/>
        <v>7731.6</v>
      </c>
      <c r="J37" s="58">
        <f t="shared" si="9"/>
        <v>7886.2320000000009</v>
      </c>
      <c r="K37" s="58">
        <f t="shared" si="9"/>
        <v>8043.9566400000012</v>
      </c>
      <c r="L37" s="72">
        <f t="shared" si="9"/>
        <v>8204.835772800001</v>
      </c>
      <c r="M37" s="57"/>
      <c r="N37" s="57"/>
      <c r="O37" s="57"/>
      <c r="P37" s="57"/>
      <c r="Q37" s="57"/>
      <c r="R37" s="57"/>
      <c r="S37" s="57"/>
      <c r="T37" s="57"/>
      <c r="U37" s="57"/>
    </row>
    <row r="38" spans="1:21" ht="22.3" customHeight="1" x14ac:dyDescent="0.4">
      <c r="A38" s="63" t="s">
        <v>30</v>
      </c>
      <c r="B38" s="71"/>
      <c r="C38" s="91"/>
      <c r="D38" s="71"/>
      <c r="E38" s="58"/>
      <c r="F38" s="101">
        <v>0.02</v>
      </c>
      <c r="G38" s="88"/>
      <c r="H38" s="58">
        <v>77109</v>
      </c>
      <c r="I38" s="58">
        <v>79457</v>
      </c>
      <c r="J38" s="58">
        <v>87683</v>
      </c>
      <c r="K38" s="58">
        <f t="shared" ref="K38:L38" si="11">J38*(1+$F38)</f>
        <v>89436.66</v>
      </c>
      <c r="L38" s="72">
        <f t="shared" si="11"/>
        <v>91225.393200000006</v>
      </c>
      <c r="M38" s="57"/>
      <c r="N38" s="57"/>
      <c r="O38" s="57"/>
      <c r="P38" s="57"/>
      <c r="Q38" s="57"/>
      <c r="R38" s="57"/>
      <c r="S38" s="57"/>
      <c r="T38" s="57"/>
      <c r="U38" s="57"/>
    </row>
    <row r="39" spans="1:21" ht="22.3" customHeight="1" x14ac:dyDescent="0.4">
      <c r="A39" s="63" t="s">
        <v>31</v>
      </c>
      <c r="B39" s="71"/>
      <c r="C39" s="91"/>
      <c r="D39" s="71"/>
      <c r="E39" s="58"/>
      <c r="F39" s="101">
        <v>0.02</v>
      </c>
      <c r="G39" s="88"/>
      <c r="H39" s="115">
        <v>11880</v>
      </c>
      <c r="I39" s="115">
        <v>11880</v>
      </c>
      <c r="J39" s="115">
        <v>11880</v>
      </c>
      <c r="K39" s="115">
        <v>11880</v>
      </c>
      <c r="L39" s="117">
        <v>11880</v>
      </c>
      <c r="M39" s="57"/>
      <c r="N39" s="57"/>
      <c r="O39" s="57"/>
      <c r="P39" s="57"/>
      <c r="Q39" s="57"/>
      <c r="R39" s="57"/>
      <c r="S39" s="57"/>
      <c r="T39" s="57"/>
      <c r="U39" s="57"/>
    </row>
    <row r="40" spans="1:21" ht="22.3" customHeight="1" x14ac:dyDescent="0.4">
      <c r="A40" s="63" t="s">
        <v>95</v>
      </c>
      <c r="B40" s="73">
        <f>J40/E16</f>
        <v>8.7109213518664994</v>
      </c>
      <c r="C40" s="91"/>
      <c r="D40" s="71"/>
      <c r="E40" s="58"/>
      <c r="F40" s="101"/>
      <c r="G40" s="88"/>
      <c r="H40" s="115">
        <f>SUM(H20:H39)</f>
        <v>213371.49359999999</v>
      </c>
      <c r="I40" s="115">
        <f t="shared" ref="I40:L40" si="12">SUM(I20:I39)</f>
        <v>221386.29759999999</v>
      </c>
      <c r="J40" s="115">
        <f t="shared" si="12"/>
        <v>231248.82912799998</v>
      </c>
      <c r="K40" s="115">
        <f t="shared" si="12"/>
        <v>235778.20342984001</v>
      </c>
      <c r="L40" s="117">
        <f t="shared" si="12"/>
        <v>240177.01507089526</v>
      </c>
      <c r="M40" s="68">
        <f>L40*102%</f>
        <v>244980.55537231316</v>
      </c>
      <c r="N40" s="68">
        <f t="shared" ref="N40:Q40" si="13">M40*102%</f>
        <v>249880.16647975941</v>
      </c>
      <c r="O40" s="68">
        <f t="shared" si="13"/>
        <v>254877.76980935459</v>
      </c>
      <c r="P40" s="68">
        <f t="shared" si="13"/>
        <v>259975.32520554168</v>
      </c>
      <c r="Q40" s="68">
        <f t="shared" si="13"/>
        <v>265174.8317096525</v>
      </c>
      <c r="R40" s="57" t="s">
        <v>53</v>
      </c>
      <c r="S40" s="57"/>
      <c r="T40" s="57"/>
      <c r="U40" s="57"/>
    </row>
    <row r="41" spans="1:21" ht="22.3" customHeight="1" x14ac:dyDescent="0.4">
      <c r="A41" s="63" t="s">
        <v>33</v>
      </c>
      <c r="B41" s="71"/>
      <c r="C41" s="91"/>
      <c r="D41" s="71"/>
      <c r="E41" s="58"/>
      <c r="F41" s="101"/>
      <c r="G41" s="88"/>
      <c r="H41" s="58">
        <f t="shared" ref="H41:Q41" si="14">H18-H40</f>
        <v>315015.84639999998</v>
      </c>
      <c r="I41" s="58">
        <f t="shared" si="14"/>
        <v>397047.64239999995</v>
      </c>
      <c r="J41" s="58">
        <f t="shared" si="14"/>
        <v>375442.42907200009</v>
      </c>
      <c r="K41" s="58">
        <f t="shared" si="14"/>
        <v>386596.82291615999</v>
      </c>
      <c r="L41" s="72">
        <f t="shared" si="14"/>
        <v>392666.70111348474</v>
      </c>
      <c r="M41" s="62">
        <f t="shared" si="14"/>
        <v>405653.13716655818</v>
      </c>
      <c r="N41" s="62">
        <f t="shared" si="14"/>
        <v>411805.93394161738</v>
      </c>
      <c r="O41" s="62">
        <f t="shared" si="14"/>
        <v>418164.99380232953</v>
      </c>
      <c r="P41" s="62">
        <f t="shared" si="14"/>
        <v>431159.93822491216</v>
      </c>
      <c r="Q41" s="62">
        <f t="shared" si="14"/>
        <v>439636.5960015427</v>
      </c>
      <c r="R41" s="57"/>
      <c r="S41" s="57"/>
      <c r="T41" s="57"/>
      <c r="U41" s="57"/>
    </row>
    <row r="42" spans="1:21" ht="22.3" customHeight="1" x14ac:dyDescent="0.4">
      <c r="A42" s="63"/>
      <c r="B42" s="71"/>
      <c r="C42" s="91"/>
      <c r="D42" s="71"/>
      <c r="E42" s="58"/>
      <c r="F42" s="101"/>
      <c r="G42" s="88" t="s">
        <v>74</v>
      </c>
      <c r="H42" s="58"/>
      <c r="I42" s="58">
        <v>5900000</v>
      </c>
      <c r="J42" s="58">
        <v>5000000</v>
      </c>
      <c r="K42" s="58">
        <v>5000000</v>
      </c>
      <c r="L42" s="58">
        <v>5000000</v>
      </c>
      <c r="M42" s="58">
        <v>5000000</v>
      </c>
      <c r="N42" s="58">
        <v>5000000</v>
      </c>
      <c r="O42" s="58">
        <v>5000000</v>
      </c>
      <c r="P42" s="58">
        <v>5000000</v>
      </c>
      <c r="Q42" s="58">
        <v>5000000</v>
      </c>
      <c r="R42" s="57"/>
      <c r="S42" s="57"/>
      <c r="T42" s="57"/>
      <c r="U42" s="57"/>
    </row>
    <row r="43" spans="1:21" ht="22.3" customHeight="1" x14ac:dyDescent="0.4">
      <c r="A43" s="63"/>
      <c r="B43" s="71"/>
      <c r="C43" s="91" t="s">
        <v>96</v>
      </c>
      <c r="D43" s="71"/>
      <c r="E43" s="58"/>
      <c r="F43" s="101"/>
      <c r="G43" s="88"/>
      <c r="H43" s="58">
        <v>6.5000000000000002E-2</v>
      </c>
      <c r="I43" s="58">
        <v>6.5000000000000002E-2</v>
      </c>
      <c r="J43" s="101">
        <f>J41/J42</f>
        <v>7.5088485814400016E-2</v>
      </c>
      <c r="K43" s="101">
        <f>K41/K42</f>
        <v>7.7319364583231992E-2</v>
      </c>
      <c r="L43" s="101">
        <f t="shared" ref="L43:Q43" si="15">L41/L42</f>
        <v>7.8533340222696951E-2</v>
      </c>
      <c r="M43" s="95">
        <f t="shared" si="15"/>
        <v>8.1130627433311633E-2</v>
      </c>
      <c r="N43" s="95">
        <f t="shared" si="15"/>
        <v>8.2361186788323479E-2</v>
      </c>
      <c r="O43" s="95">
        <f t="shared" si="15"/>
        <v>8.3632998760465899E-2</v>
      </c>
      <c r="P43" s="95">
        <f t="shared" si="15"/>
        <v>8.6231987644982425E-2</v>
      </c>
      <c r="Q43" s="95">
        <f t="shared" si="15"/>
        <v>8.7927319200308537E-2</v>
      </c>
      <c r="R43" s="57"/>
      <c r="S43" s="57"/>
      <c r="T43" s="57"/>
      <c r="U43" s="57"/>
    </row>
    <row r="44" spans="1:21" ht="22.3" customHeight="1" x14ac:dyDescent="0.4">
      <c r="A44" s="63"/>
      <c r="B44" s="71"/>
      <c r="C44" s="91"/>
      <c r="D44" s="71"/>
      <c r="E44" s="58"/>
      <c r="F44" s="118" t="s">
        <v>97</v>
      </c>
      <c r="G44" s="88"/>
      <c r="H44" s="84">
        <f>H41/H43</f>
        <v>4846397.6369230766</v>
      </c>
      <c r="I44" s="84">
        <f t="shared" ref="I44:Q44" si="16">I41/I43</f>
        <v>6108425.267692307</v>
      </c>
      <c r="J44" s="84">
        <f t="shared" si="16"/>
        <v>5000000</v>
      </c>
      <c r="K44" s="84">
        <f t="shared" si="16"/>
        <v>5000000</v>
      </c>
      <c r="L44" s="86">
        <f t="shared" si="16"/>
        <v>5000000</v>
      </c>
      <c r="M44" s="86">
        <f t="shared" si="16"/>
        <v>5000000</v>
      </c>
      <c r="N44" s="86">
        <f t="shared" si="16"/>
        <v>5000000</v>
      </c>
      <c r="O44" s="86">
        <f t="shared" si="16"/>
        <v>5000000</v>
      </c>
      <c r="P44" s="86">
        <f t="shared" si="16"/>
        <v>5000000</v>
      </c>
      <c r="Q44" s="86">
        <f t="shared" si="16"/>
        <v>5000000</v>
      </c>
      <c r="R44" s="72"/>
      <c r="S44" s="72"/>
      <c r="T44" s="57"/>
      <c r="U44" s="57"/>
    </row>
    <row r="45" spans="1:21" ht="22.3" customHeight="1" x14ac:dyDescent="0.4">
      <c r="A45" s="63"/>
      <c r="B45" s="71"/>
      <c r="C45" s="91"/>
      <c r="D45" s="71"/>
      <c r="E45" s="58"/>
      <c r="F45" s="101"/>
      <c r="G45" s="88" t="s">
        <v>75</v>
      </c>
      <c r="H45" s="58"/>
      <c r="I45" s="58">
        <f>I41/I42</f>
        <v>6.7296210576271179E-2</v>
      </c>
      <c r="J45" s="101">
        <f t="shared" ref="J45:Q45" si="17">J41/J42</f>
        <v>7.5088485814400016E-2</v>
      </c>
      <c r="K45" s="101">
        <f t="shared" si="17"/>
        <v>7.7319364583231992E-2</v>
      </c>
      <c r="L45" s="101">
        <f t="shared" si="17"/>
        <v>7.8533340222696951E-2</v>
      </c>
      <c r="M45" s="95">
        <f t="shared" si="17"/>
        <v>8.1130627433311633E-2</v>
      </c>
      <c r="N45" s="95">
        <f t="shared" si="17"/>
        <v>8.2361186788323479E-2</v>
      </c>
      <c r="O45" s="95">
        <f t="shared" si="17"/>
        <v>8.3632998760465899E-2</v>
      </c>
      <c r="P45" s="95">
        <f t="shared" si="17"/>
        <v>8.6231987644982425E-2</v>
      </c>
      <c r="Q45" s="95">
        <f t="shared" si="17"/>
        <v>8.7927319200308537E-2</v>
      </c>
      <c r="R45" s="57"/>
      <c r="S45" s="57"/>
      <c r="T45" s="57"/>
      <c r="U45" s="57"/>
    </row>
    <row r="46" spans="1:21" ht="22.3" customHeight="1" x14ac:dyDescent="0.4">
      <c r="A46" s="56" t="s">
        <v>37</v>
      </c>
      <c r="B46" s="71" t="s">
        <v>39</v>
      </c>
      <c r="C46" s="91"/>
      <c r="D46" s="71"/>
      <c r="E46" s="58"/>
      <c r="F46" s="101"/>
      <c r="G46" s="88"/>
      <c r="H46" s="58"/>
      <c r="I46" s="58"/>
      <c r="J46" s="58"/>
      <c r="K46" s="58"/>
      <c r="L46" s="72"/>
      <c r="M46" s="57"/>
      <c r="N46" s="57"/>
      <c r="O46" s="57"/>
      <c r="P46" s="57"/>
      <c r="Q46" s="57"/>
      <c r="R46" s="57"/>
      <c r="S46" s="57"/>
      <c r="T46" s="57"/>
      <c r="U46" s="57"/>
    </row>
    <row r="47" spans="1:21" ht="22.3" customHeight="1" x14ac:dyDescent="0.4">
      <c r="A47" s="63" t="s">
        <v>62</v>
      </c>
      <c r="B47" s="71" t="s">
        <v>77</v>
      </c>
      <c r="C47" s="91"/>
      <c r="D47" s="71"/>
      <c r="E47" s="58"/>
      <c r="F47" s="58"/>
      <c r="G47" s="88"/>
      <c r="H47" s="58"/>
      <c r="I47" s="58"/>
      <c r="J47" s="58"/>
      <c r="K47" s="58"/>
      <c r="L47" s="72"/>
      <c r="M47" s="57"/>
      <c r="N47" s="57"/>
      <c r="O47" s="57"/>
      <c r="P47" s="57"/>
      <c r="Q47" s="57"/>
      <c r="R47" s="57"/>
      <c r="S47" s="57"/>
      <c r="T47" s="57"/>
      <c r="U47" s="57"/>
    </row>
    <row r="48" spans="1:21" ht="22.3" customHeight="1" x14ac:dyDescent="0.4">
      <c r="A48" s="63"/>
      <c r="B48" s="71"/>
      <c r="C48" s="91"/>
      <c r="D48" s="71"/>
      <c r="E48" s="58"/>
      <c r="F48" s="101"/>
      <c r="G48" s="88"/>
      <c r="H48" s="58"/>
      <c r="I48" s="58"/>
      <c r="J48" s="58"/>
      <c r="K48" s="58"/>
      <c r="L48" s="72"/>
      <c r="M48" s="57"/>
      <c r="N48" s="57"/>
      <c r="O48" s="57"/>
      <c r="P48" s="57"/>
      <c r="Q48" s="57"/>
      <c r="R48" s="57"/>
      <c r="S48" s="57"/>
      <c r="T48" s="57"/>
      <c r="U48" s="57"/>
    </row>
    <row r="49" spans="1:21" ht="22.3" customHeight="1" x14ac:dyDescent="0.4">
      <c r="A49" s="63" t="s">
        <v>84</v>
      </c>
      <c r="B49" s="71"/>
      <c r="C49" s="91"/>
      <c r="D49" s="71"/>
      <c r="E49" s="58" t="s">
        <v>101</v>
      </c>
      <c r="F49" s="101"/>
      <c r="G49" s="88"/>
      <c r="H49" s="58"/>
      <c r="I49" s="58"/>
      <c r="J49" s="58"/>
      <c r="K49" s="58"/>
      <c r="L49" s="72"/>
      <c r="M49" s="57"/>
      <c r="N49" s="57"/>
      <c r="O49" s="57"/>
      <c r="P49" s="57"/>
      <c r="Q49" s="57"/>
      <c r="R49" s="57"/>
      <c r="S49" s="57"/>
      <c r="T49" s="57"/>
      <c r="U49" s="57"/>
    </row>
    <row r="50" spans="1:21" ht="22.3" customHeight="1" x14ac:dyDescent="0.4">
      <c r="A50" s="63" t="s">
        <v>85</v>
      </c>
      <c r="B50" s="58">
        <v>3750000</v>
      </c>
      <c r="C50" s="91" t="s">
        <v>102</v>
      </c>
      <c r="D50" s="71"/>
      <c r="E50" s="58">
        <f>J41</f>
        <v>375442.42907200009</v>
      </c>
      <c r="F50" s="58">
        <f t="shared" ref="F50:L50" si="18">K41</f>
        <v>386596.82291615999</v>
      </c>
      <c r="G50" s="58">
        <f t="shared" si="18"/>
        <v>392666.70111348474</v>
      </c>
      <c r="H50" s="58">
        <f t="shared" si="18"/>
        <v>405653.13716655818</v>
      </c>
      <c r="I50" s="58">
        <f t="shared" si="18"/>
        <v>411805.93394161738</v>
      </c>
      <c r="J50" s="58">
        <f t="shared" si="18"/>
        <v>418164.99380232953</v>
      </c>
      <c r="K50" s="58">
        <f t="shared" si="18"/>
        <v>431159.93822491216</v>
      </c>
      <c r="L50" s="58">
        <f t="shared" si="18"/>
        <v>439636.5960015427</v>
      </c>
      <c r="M50" s="71">
        <f>R41</f>
        <v>0</v>
      </c>
      <c r="N50" s="57"/>
      <c r="O50" s="57"/>
      <c r="P50" s="57"/>
      <c r="Q50" s="57"/>
      <c r="R50" s="57"/>
      <c r="S50" s="57"/>
      <c r="T50" s="57"/>
      <c r="U50" s="57"/>
    </row>
    <row r="51" spans="1:21" ht="22.3" customHeight="1" x14ac:dyDescent="0.4">
      <c r="A51" s="63" t="s">
        <v>86</v>
      </c>
      <c r="B51" s="100">
        <v>7.0000000000000007E-2</v>
      </c>
      <c r="C51" s="121" t="s">
        <v>103</v>
      </c>
      <c r="E51" s="58">
        <f>B54</f>
        <v>-318050.63877379132</v>
      </c>
      <c r="F51" s="101">
        <f>E51</f>
        <v>-318050.63877379132</v>
      </c>
      <c r="G51" s="101">
        <f t="shared" ref="G51:L51" si="19">F51</f>
        <v>-318050.63877379132</v>
      </c>
      <c r="H51" s="101">
        <f t="shared" si="19"/>
        <v>-318050.63877379132</v>
      </c>
      <c r="I51" s="101">
        <f t="shared" si="19"/>
        <v>-318050.63877379132</v>
      </c>
      <c r="J51" s="101">
        <f t="shared" si="19"/>
        <v>-318050.63877379132</v>
      </c>
      <c r="K51" s="101">
        <f t="shared" si="19"/>
        <v>-318050.63877379132</v>
      </c>
      <c r="L51" s="101">
        <f t="shared" si="19"/>
        <v>-318050.63877379132</v>
      </c>
    </row>
    <row r="52" spans="1:21" ht="22.3" customHeight="1" x14ac:dyDescent="0.4">
      <c r="A52" s="63" t="s">
        <v>87</v>
      </c>
      <c r="B52" s="78">
        <v>25</v>
      </c>
      <c r="C52" s="121" t="s">
        <v>101</v>
      </c>
      <c r="E52" s="58">
        <f>SUM(E50:E51)</f>
        <v>57391.790298208769</v>
      </c>
      <c r="F52" s="101">
        <f>SUM(F50:F51)</f>
        <v>68546.184142368671</v>
      </c>
      <c r="G52" s="88">
        <f>SUM(G50:G51)</f>
        <v>74616.062339693424</v>
      </c>
      <c r="H52" s="58">
        <f>SUM(H50:H51)</f>
        <v>87602.498392766865</v>
      </c>
      <c r="I52" s="58">
        <f>SUM(I50:I51)</f>
        <v>93755.295167826058</v>
      </c>
      <c r="J52" s="58">
        <f>SUM(J50:J51)</f>
        <v>100114.35502853821</v>
      </c>
      <c r="K52" s="58">
        <f>SUM(K50:K51)</f>
        <v>113109.29945112084</v>
      </c>
      <c r="L52" s="72">
        <f>SUM(L50:L51)</f>
        <v>121585.95722775138</v>
      </c>
    </row>
    <row r="53" spans="1:21" ht="22.3" customHeight="1" x14ac:dyDescent="0.4">
      <c r="A53" s="63" t="s">
        <v>88</v>
      </c>
      <c r="B53" s="80">
        <f>PMT(B51/12,B52*12,B50)</f>
        <v>-26504.219897815943</v>
      </c>
    </row>
    <row r="54" spans="1:21" ht="22.3" customHeight="1" x14ac:dyDescent="0.4">
      <c r="A54" s="63" t="s">
        <v>89</v>
      </c>
      <c r="B54" s="78">
        <f>B53*12</f>
        <v>-318050.63877379132</v>
      </c>
    </row>
  </sheetData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detail 301 blount</vt:lpstr>
      <vt:lpstr>rent adjustment</vt:lpstr>
      <vt:lpstr>301 blount fine point</vt:lpstr>
      <vt:lpstr>'301 blount fine point'!Print_Area</vt:lpstr>
      <vt:lpstr>'detail 301 blount'!Print_Area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Marty Rifken</cp:lastModifiedBy>
  <cp:lastPrinted>2024-02-07T00:45:53Z</cp:lastPrinted>
  <dcterms:created xsi:type="dcterms:W3CDTF">2018-06-25T14:23:29Z</dcterms:created>
  <dcterms:modified xsi:type="dcterms:W3CDTF">2024-02-22T23:34:04Z</dcterms:modified>
</cp:coreProperties>
</file>